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defaultThemeVersion="124226"/>
  <xr:revisionPtr revIDLastSave="0" documentId="13_ncr:1_{2233C8E8-7DAB-49EA-B36F-E251B06283DE}" xr6:coauthVersionLast="47" xr6:coauthVersionMax="47" xr10:uidLastSave="{00000000-0000-0000-0000-000000000000}"/>
  <workbookProtection workbookAlgorithmName="SHA-512" workbookHashValue="19Bf6deow0DViDZzQTE0qP2uekInjMbGdVklVhRdS468zFtPsE6p1+/KTjltLbzjqQT61sOGWqSWgKKym3kwww==" workbookSaltValue="HRlX9fQn35mJ7BXkxD9Z3A==" workbookSpinCount="100000" lockStructure="1"/>
  <bookViews>
    <workbookView xWindow="-120" yWindow="-120" windowWidth="20730" windowHeight="11160" tabRatio="856" activeTab="1" xr2:uid="{00000000-000D-0000-FFFF-FFFF00000000}"/>
  </bookViews>
  <sheets>
    <sheet name="Start" sheetId="46" r:id="rId1"/>
    <sheet name="1-Questionnaire" sheetId="21" r:id="rId2"/>
    <sheet name="Hazards Identification OH&amp;S " sheetId="44" state="hidden" r:id="rId3"/>
    <sheet name="Multi-Site" sheetId="5" r:id="rId4"/>
    <sheet name="2-Calc. Sheet" sheetId="1" state="hidden" r:id="rId5"/>
    <sheet name="3-Quotation" sheetId="9" state="hidden" r:id="rId6"/>
    <sheet name="4-Contract" sheetId="22" state="hidden" r:id="rId7"/>
    <sheet name="5-ATJIF-01" sheetId="23" state="hidden" r:id="rId8"/>
    <sheet name="5-ATJIF-02" sheetId="26" state="hidden" r:id="rId9"/>
    <sheet name="CRMR-INT" sheetId="29" state="hidden" r:id="rId10"/>
    <sheet name="CERTIFICATE" sheetId="32" state="hidden" r:id="rId11"/>
    <sheet name="Sheet5" sheetId="45" state="hidden" r:id="rId12"/>
    <sheet name="Sheet4" sheetId="38" state="hidden" r:id="rId13"/>
    <sheet name="Sheet3" sheetId="37" state="hidden" r:id="rId14"/>
    <sheet name="Audit Form" sheetId="4" state="hidden" r:id="rId15"/>
    <sheet name="Classification" sheetId="2" state="hidden" r:id="rId16"/>
    <sheet name="Auditors" sheetId="3" state="hidden" r:id="rId17"/>
    <sheet name="Sheet1" sheetId="8" state="hidden" r:id="rId18"/>
    <sheet name="Sheet2" sheetId="7" state="hidden" r:id="rId19"/>
  </sheets>
  <definedNames>
    <definedName name="Codes">'2-Calc. Sheet'!$A$20:$A$23</definedName>
    <definedName name="ENP" comment="Effective Number of Personnel" localSheetId="1">'1-Questionnaire'!#REF!</definedName>
    <definedName name="ENP" comment="Effective Number of Personnel" localSheetId="5">'3-Quotation'!$H$15</definedName>
    <definedName name="ENP" comment="Effective Number of Personnel" localSheetId="6">'4-Contract'!#REF!</definedName>
    <definedName name="ENP" comment="Effective Number of Personnel" localSheetId="7">'5-ATJIF-01'!#REF!</definedName>
    <definedName name="ENP" comment="Effective Number of Personnel" localSheetId="8">'5-ATJIF-02'!#REF!</definedName>
    <definedName name="ENP" comment="Effective Number of Personnel" localSheetId="9">'CRMR-INT'!$H$16</definedName>
    <definedName name="ENP" comment="Effective Number of Personnel">'2-Calc. Sheet'!$H$15</definedName>
    <definedName name="Text22" localSheetId="6">'4-Contract'!$B$22</definedName>
    <definedName name="Text38" localSheetId="6">'4-Contract'!$A$17</definedName>
    <definedName name="Text39" localSheetId="6">'4-Contract'!$A$20</definedName>
    <definedName name="Text42" localSheetId="6">'4-Contract'!$A$24</definedName>
    <definedName name="Text43" localSheetId="6">'4-Contract'!$A$25</definedName>
    <definedName name="Text44" localSheetId="6">'4-Contract'!$A$26</definedName>
    <definedName name="Text45" localSheetId="6">'4-Contract'!$A$28</definedName>
    <definedName name="Text46" localSheetId="6">'4-Contract'!$A$29</definedName>
    <definedName name="Text47" localSheetId="6">'4-Contract'!$A$30</definedName>
    <definedName name="Text57" localSheetId="6">'4-Contract'!$A$31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29" l="1"/>
  <c r="E23" i="1" l="1"/>
  <c r="E22" i="1"/>
  <c r="E21" i="1"/>
  <c r="E20" i="1"/>
  <c r="O16" i="1" l="1"/>
  <c r="I37" i="32" l="1"/>
  <c r="I9" i="1"/>
  <c r="I10" i="1"/>
  <c r="I13" i="1"/>
  <c r="K13" i="1"/>
  <c r="K15" i="1"/>
  <c r="E9" i="7" l="1"/>
  <c r="E5" i="7"/>
  <c r="E8" i="7"/>
  <c r="E4" i="7"/>
  <c r="E7" i="7"/>
  <c r="E3" i="7"/>
  <c r="E10" i="7"/>
  <c r="E6" i="7"/>
  <c r="E2" i="7"/>
  <c r="J10" i="9"/>
  <c r="L35" i="1" l="1"/>
  <c r="P7" i="29" l="1"/>
  <c r="P8" i="29" l="1"/>
  <c r="P9" i="29"/>
  <c r="B28" i="1"/>
  <c r="D35" i="32" l="1"/>
  <c r="L36" i="1" l="1"/>
  <c r="J9" i="9" l="1"/>
  <c r="C62" i="22" l="1"/>
  <c r="B21" i="1"/>
  <c r="B20" i="1"/>
  <c r="B23" i="1"/>
  <c r="B22" i="1"/>
  <c r="X13" i="7" l="1"/>
  <c r="X12" i="7"/>
  <c r="X11" i="7"/>
  <c r="X10" i="7"/>
  <c r="X9" i="7"/>
  <c r="X8" i="7"/>
  <c r="X7" i="7"/>
  <c r="X6" i="7"/>
  <c r="X5" i="7"/>
  <c r="X4" i="7"/>
  <c r="X3" i="7"/>
  <c r="G24" i="26" l="1"/>
  <c r="H101" i="22"/>
  <c r="I24" i="23" s="1"/>
  <c r="C8" i="29"/>
  <c r="Q25" i="29" l="1"/>
  <c r="C8" i="1" l="1"/>
  <c r="K31" i="1" l="1"/>
  <c r="J31" i="1"/>
  <c r="K30" i="1"/>
  <c r="J30" i="1"/>
  <c r="K29" i="1"/>
  <c r="J29" i="1"/>
  <c r="J28" i="1"/>
  <c r="K28" i="1"/>
  <c r="I28" i="1" l="1"/>
  <c r="M15" i="7" s="1"/>
  <c r="C23" i="32"/>
  <c r="M22" i="1" l="1"/>
  <c r="F41" i="32" l="1"/>
  <c r="G48" i="29" l="1"/>
  <c r="I39" i="32" s="1"/>
  <c r="Q6" i="29"/>
  <c r="H6" i="29"/>
  <c r="O25" i="1" l="1"/>
  <c r="F2" i="5" l="1"/>
  <c r="H7" i="23" l="1"/>
  <c r="F28" i="1" l="1"/>
  <c r="C39" i="32" l="1"/>
  <c r="L22" i="1" l="1"/>
  <c r="I31" i="1" l="1"/>
  <c r="M18" i="7" s="1"/>
  <c r="H31" i="1"/>
  <c r="G31" i="1"/>
  <c r="F31" i="1"/>
  <c r="I30" i="1"/>
  <c r="M17" i="7" s="1"/>
  <c r="H30" i="1"/>
  <c r="G30" i="1"/>
  <c r="F30" i="1"/>
  <c r="I29" i="1"/>
  <c r="M16" i="7" s="1"/>
  <c r="H29" i="1"/>
  <c r="G29" i="1"/>
  <c r="F29" i="1"/>
  <c r="G17" i="23" l="1"/>
  <c r="C17" i="23"/>
  <c r="A49" i="38" l="1"/>
  <c r="A48" i="38"/>
  <c r="A47" i="38"/>
  <c r="H37" i="29" l="1"/>
  <c r="H38" i="29"/>
  <c r="H29" i="29"/>
  <c r="H19" i="29"/>
  <c r="H20" i="29"/>
  <c r="H21" i="29"/>
  <c r="H22" i="29"/>
  <c r="H23" i="29"/>
  <c r="H24" i="29"/>
  <c r="H25" i="29"/>
  <c r="H26" i="29"/>
  <c r="H27" i="29"/>
  <c r="H28" i="29"/>
  <c r="H18" i="29"/>
  <c r="H8" i="29"/>
  <c r="H9" i="29"/>
  <c r="H10" i="29"/>
  <c r="H11" i="29"/>
  <c r="H12" i="29"/>
  <c r="H13" i="29"/>
  <c r="H7" i="29"/>
  <c r="Q10" i="29"/>
  <c r="Q11" i="29"/>
  <c r="Q12" i="29"/>
  <c r="Q13" i="29"/>
  <c r="Q29" i="29"/>
  <c r="Q23" i="29"/>
  <c r="Q24" i="29"/>
  <c r="Q26" i="29"/>
  <c r="Q27" i="29"/>
  <c r="Q28" i="29"/>
  <c r="Q20" i="29"/>
  <c r="Q17" i="29"/>
  <c r="Q18" i="29"/>
  <c r="Q19" i="29"/>
  <c r="Q16" i="29"/>
  <c r="Q14" i="29"/>
  <c r="C14" i="21" l="1"/>
  <c r="C12" i="21"/>
  <c r="A24" i="26" l="1"/>
  <c r="I28" i="26"/>
  <c r="Q25" i="1"/>
  <c r="D19" i="26"/>
  <c r="B31" i="1" l="1"/>
  <c r="B30" i="1"/>
  <c r="B29" i="1"/>
  <c r="I27" i="23" l="1"/>
  <c r="H27" i="23"/>
  <c r="A44" i="29" l="1"/>
  <c r="L6" i="29" l="1"/>
  <c r="E16" i="29"/>
  <c r="F16" i="29" s="1"/>
  <c r="A49" i="37"/>
  <c r="A48" i="37"/>
  <c r="A47" i="37"/>
  <c r="H17" i="29"/>
  <c r="C11" i="29"/>
  <c r="B28" i="32" s="1"/>
  <c r="C7" i="29"/>
  <c r="G41" i="26"/>
  <c r="Q41" i="26" s="1"/>
  <c r="J29" i="26"/>
  <c r="J28" i="26"/>
  <c r="J27" i="26"/>
  <c r="J26" i="26"/>
  <c r="I19" i="26"/>
  <c r="F10" i="29" s="1"/>
  <c r="R11" i="26"/>
  <c r="P11" i="26"/>
  <c r="N11" i="26"/>
  <c r="L11" i="26"/>
  <c r="H8" i="26"/>
  <c r="H7" i="26"/>
  <c r="H41" i="26" s="1"/>
  <c r="R41" i="26" s="1"/>
  <c r="C25" i="26"/>
  <c r="B14" i="32" l="1"/>
  <c r="B17" i="32"/>
  <c r="E15" i="29"/>
  <c r="H16" i="29"/>
  <c r="F15" i="29" l="1"/>
  <c r="H15" i="29"/>
  <c r="A57" i="7"/>
  <c r="A56" i="7"/>
  <c r="A55" i="7"/>
  <c r="H29" i="23" l="1"/>
  <c r="C26" i="23"/>
  <c r="I21" i="23"/>
  <c r="C21" i="23"/>
  <c r="I19" i="23"/>
  <c r="I18" i="23"/>
  <c r="E17" i="23"/>
  <c r="I16" i="23"/>
  <c r="C16" i="23"/>
  <c r="I14" i="23"/>
  <c r="R11" i="23"/>
  <c r="P11" i="23"/>
  <c r="N11" i="23"/>
  <c r="L11" i="23"/>
  <c r="H20" i="21"/>
  <c r="A24" i="1"/>
  <c r="D19" i="23" l="1"/>
  <c r="I20" i="23"/>
  <c r="F17" i="29" l="1"/>
  <c r="N13" i="26" l="1"/>
  <c r="C16" i="29" s="1"/>
  <c r="H28" i="1"/>
  <c r="G28" i="1"/>
  <c r="C15" i="29"/>
  <c r="R13" i="26" l="1"/>
  <c r="P13" i="26"/>
  <c r="C17" i="29" s="1"/>
  <c r="P13" i="23"/>
  <c r="N13" i="23"/>
  <c r="G41" i="23" l="1"/>
  <c r="Q41" i="23" s="1"/>
  <c r="A270" i="22" l="1"/>
  <c r="D268" i="22"/>
  <c r="H267" i="22"/>
  <c r="I267" i="22"/>
  <c r="F268" i="22"/>
  <c r="H268" i="22"/>
  <c r="I268" i="22"/>
  <c r="F269" i="22"/>
  <c r="H269" i="22"/>
  <c r="I269" i="22"/>
  <c r="H270" i="22"/>
  <c r="H271" i="22"/>
  <c r="G272" i="22"/>
  <c r="H272" i="22"/>
  <c r="A271" i="22"/>
  <c r="A273" i="22"/>
  <c r="Q22" i="29" l="1"/>
  <c r="M21" i="21" l="1"/>
  <c r="S20" i="1" l="1"/>
  <c r="R20" i="1"/>
  <c r="I5" i="21" l="1"/>
  <c r="I13" i="26" s="1"/>
  <c r="I13" i="23" l="1"/>
  <c r="F62" i="22"/>
  <c r="E62" i="22"/>
  <c r="D62" i="22"/>
  <c r="O18" i="1" l="1"/>
  <c r="R16" i="1" l="1"/>
  <c r="F14" i="9" l="1"/>
  <c r="I13" i="9"/>
  <c r="F12" i="9"/>
  <c r="G11" i="9"/>
  <c r="E11" i="9"/>
  <c r="C11" i="9"/>
  <c r="C12" i="9"/>
  <c r="F14" i="1"/>
  <c r="F12" i="1"/>
  <c r="F12" i="29"/>
  <c r="G11" i="1"/>
  <c r="E11" i="1"/>
  <c r="E12" i="29" s="1"/>
  <c r="C14" i="1"/>
  <c r="C12" i="1" l="1"/>
  <c r="C14" i="9"/>
  <c r="I14" i="9" s="1"/>
  <c r="I15" i="9"/>
  <c r="K14" i="1" l="1"/>
  <c r="G101" i="22" s="1"/>
  <c r="H24" i="23" s="1"/>
  <c r="C2" i="5"/>
  <c r="H5" i="29" l="1"/>
  <c r="C9" i="1"/>
  <c r="L9" i="1" l="1"/>
  <c r="L14" i="1"/>
  <c r="P25" i="1" s="1"/>
  <c r="G9" i="1"/>
  <c r="L28" i="1" s="1"/>
  <c r="L16" i="1"/>
  <c r="L8" i="1"/>
  <c r="L6" i="1"/>
  <c r="S8" i="1"/>
  <c r="Q8" i="1"/>
  <c r="O8" i="1"/>
  <c r="L20" i="1"/>
  <c r="R5" i="29"/>
  <c r="H36" i="29"/>
  <c r="J28" i="23"/>
  <c r="J26" i="23"/>
  <c r="H8" i="23"/>
  <c r="J27" i="23"/>
  <c r="M28" i="1" l="1"/>
  <c r="L32" i="1"/>
  <c r="M27" i="1"/>
  <c r="X25" i="1"/>
  <c r="N32" i="1" s="1"/>
  <c r="L29" i="1"/>
  <c r="M29" i="1" s="1"/>
  <c r="L30" i="1"/>
  <c r="N30" i="1" s="1"/>
  <c r="L31" i="1"/>
  <c r="N31" i="1" s="1"/>
  <c r="O31" i="1" s="1"/>
  <c r="L27" i="1"/>
  <c r="P32" i="1"/>
  <c r="M30" i="1"/>
  <c r="A54" i="29"/>
  <c r="M32" i="1"/>
  <c r="B54" i="29" s="1"/>
  <c r="B50" i="29"/>
  <c r="H41" i="23"/>
  <c r="R41" i="23" s="1"/>
  <c r="G36" i="9"/>
  <c r="Q36" i="9" s="1"/>
  <c r="Q32" i="1" l="1"/>
  <c r="M31" i="1"/>
  <c r="B53" i="29" s="1"/>
  <c r="A49" i="29"/>
  <c r="A53" i="29"/>
  <c r="R32" i="1"/>
  <c r="R35" i="1" s="1"/>
  <c r="O32" i="1"/>
  <c r="B49" i="29"/>
  <c r="A51" i="29"/>
  <c r="A50" i="29"/>
  <c r="A52" i="29"/>
  <c r="H47" i="22"/>
  <c r="H94" i="22" s="1"/>
  <c r="G47" i="22"/>
  <c r="R188" i="22" l="1"/>
  <c r="G235" i="22"/>
  <c r="R235" i="22"/>
  <c r="G188" i="22"/>
  <c r="R284" i="22"/>
  <c r="G284" i="22"/>
  <c r="G141" i="22"/>
  <c r="G94" i="22"/>
  <c r="R94" i="22"/>
  <c r="R47" i="22"/>
  <c r="R141" i="22"/>
  <c r="S94" i="22"/>
  <c r="H141" i="22"/>
  <c r="S47" i="22"/>
  <c r="K249" i="22"/>
  <c r="K248" i="22"/>
  <c r="K247" i="22"/>
  <c r="K245" i="22"/>
  <c r="K244" i="22"/>
  <c r="K243" i="22"/>
  <c r="S141" i="22" l="1"/>
  <c r="H284" i="22"/>
  <c r="S188" i="22"/>
  <c r="H235" i="22"/>
  <c r="H188" i="22"/>
  <c r="S235" i="22"/>
  <c r="S284" i="22"/>
  <c r="B17" i="9" l="1"/>
  <c r="M32" i="9" s="1"/>
  <c r="C61" i="22" l="1"/>
  <c r="C60" i="22"/>
  <c r="C59" i="22"/>
  <c r="K43" i="22" l="1"/>
  <c r="C108" i="22" l="1"/>
  <c r="H28" i="23" s="1"/>
  <c r="C105" i="22"/>
  <c r="C100" i="22"/>
  <c r="C25" i="23" s="1"/>
  <c r="C7" i="22" l="1"/>
  <c r="A33" i="22"/>
  <c r="A32" i="22"/>
  <c r="A31" i="22"/>
  <c r="A29" i="22"/>
  <c r="A27" i="22"/>
  <c r="A25" i="22"/>
  <c r="B19" i="22"/>
  <c r="S11" i="9" l="1"/>
  <c r="I272" i="22" s="1"/>
  <c r="J272" i="22" s="1"/>
  <c r="C11" i="1"/>
  <c r="I15" i="1" s="1"/>
  <c r="O8" i="7" l="1"/>
  <c r="O4" i="7"/>
  <c r="O7" i="7"/>
  <c r="O3" i="7"/>
  <c r="O6" i="7"/>
  <c r="O2" i="7"/>
  <c r="O5" i="7"/>
  <c r="A2" i="7"/>
  <c r="I14" i="1"/>
  <c r="A33" i="7"/>
  <c r="H8" i="9"/>
  <c r="U15" i="1"/>
  <c r="R15" i="1"/>
  <c r="U14" i="1"/>
  <c r="O15" i="1"/>
  <c r="O14" i="1"/>
  <c r="O20" i="1"/>
  <c r="H10" i="9"/>
  <c r="C10" i="1"/>
  <c r="H6" i="9"/>
  <c r="I7" i="1"/>
  <c r="C7" i="1"/>
  <c r="B2" i="5" s="1"/>
  <c r="C6" i="1"/>
  <c r="C6" i="9" s="1"/>
  <c r="C13" i="23" s="1"/>
  <c r="G2" i="5"/>
  <c r="G25" i="26" l="1"/>
  <c r="A3" i="38" s="1"/>
  <c r="N29" i="1"/>
  <c r="A32" i="7"/>
  <c r="A3" i="7"/>
  <c r="A28" i="7"/>
  <c r="A31" i="7"/>
  <c r="I26" i="26"/>
  <c r="G26" i="26" s="1"/>
  <c r="C106" i="22"/>
  <c r="C28" i="23" s="1"/>
  <c r="N28" i="1"/>
  <c r="C104" i="22"/>
  <c r="C27" i="23" s="1"/>
  <c r="C107" i="22"/>
  <c r="C109" i="22"/>
  <c r="C29" i="23" s="1"/>
  <c r="A23" i="38"/>
  <c r="A22" i="38"/>
  <c r="K7" i="38"/>
  <c r="C103" i="22"/>
  <c r="H26" i="23" s="1"/>
  <c r="J25" i="23"/>
  <c r="H9" i="9"/>
  <c r="H7" i="9"/>
  <c r="C10" i="9"/>
  <c r="C8" i="9"/>
  <c r="C7" i="9"/>
  <c r="C14" i="23" s="1"/>
  <c r="C9" i="9"/>
  <c r="F20" i="4"/>
  <c r="F19" i="4"/>
  <c r="F18" i="4"/>
  <c r="F17" i="4"/>
  <c r="F16" i="4"/>
  <c r="F15" i="4"/>
  <c r="R25" i="1"/>
  <c r="T7" i="1"/>
  <c r="R7" i="1"/>
  <c r="T6" i="1"/>
  <c r="R6" i="1"/>
  <c r="A9" i="38" l="1"/>
  <c r="A8" i="38"/>
  <c r="A17" i="38"/>
  <c r="A14" i="38"/>
  <c r="A12" i="38"/>
  <c r="A10" i="38"/>
  <c r="A21" i="38"/>
  <c r="A20" i="38"/>
  <c r="A19" i="38"/>
  <c r="A11" i="38"/>
  <c r="K4" i="38"/>
  <c r="A16" i="38"/>
  <c r="K6" i="38"/>
  <c r="A15" i="38"/>
  <c r="K3" i="38"/>
  <c r="K2" i="38"/>
  <c r="A7" i="38"/>
  <c r="K5" i="38"/>
  <c r="A6" i="38"/>
  <c r="A4" i="38"/>
  <c r="A13" i="38"/>
  <c r="A18" i="38"/>
  <c r="A5" i="38"/>
  <c r="A2" i="38"/>
  <c r="O29" i="1"/>
  <c r="Q8" i="9"/>
  <c r="O7" i="1" s="1"/>
  <c r="O28" i="1"/>
  <c r="Q6" i="9"/>
  <c r="C18" i="23"/>
  <c r="C18" i="26" s="1"/>
  <c r="G18" i="26" s="1"/>
  <c r="O34" i="1" s="1"/>
  <c r="O36" i="1" s="1"/>
  <c r="E2" i="5"/>
  <c r="C20" i="23"/>
  <c r="C15" i="23"/>
  <c r="P6" i="9"/>
  <c r="D101" i="22"/>
  <c r="I25" i="23" s="1"/>
  <c r="C101" i="22"/>
  <c r="H25" i="23" s="1"/>
  <c r="C12" i="29" s="1"/>
  <c r="P9" i="9"/>
  <c r="P10" i="9"/>
  <c r="P11" i="9"/>
  <c r="A25" i="7"/>
  <c r="A4" i="7"/>
  <c r="A6" i="7"/>
  <c r="A12" i="7"/>
  <c r="A29" i="7"/>
  <c r="A8" i="7"/>
  <c r="A24" i="7"/>
  <c r="A9" i="7"/>
  <c r="O30" i="1"/>
  <c r="A21" i="7"/>
  <c r="A5" i="7"/>
  <c r="A7" i="7"/>
  <c r="A10" i="7"/>
  <c r="A22" i="7"/>
  <c r="A26" i="7"/>
  <c r="A30" i="7"/>
  <c r="A11" i="7"/>
  <c r="A23" i="7"/>
  <c r="A27" i="7"/>
  <c r="N27" i="1" l="1"/>
  <c r="O27" i="1" s="1"/>
  <c r="M14" i="7"/>
  <c r="M20" i="7"/>
  <c r="M19" i="7"/>
  <c r="M13" i="7"/>
  <c r="M7" i="7"/>
  <c r="G269" i="22"/>
  <c r="M2" i="7"/>
  <c r="P34" i="1"/>
  <c r="P36" i="1" s="1"/>
  <c r="N34" i="1"/>
  <c r="N36" i="1" s="1"/>
  <c r="M34" i="1"/>
  <c r="M36" i="1" s="1"/>
  <c r="R34" i="1"/>
  <c r="R36" i="1" s="1"/>
  <c r="Q34" i="1"/>
  <c r="Q36" i="1" s="1"/>
  <c r="P28" i="1"/>
  <c r="M12" i="7"/>
  <c r="M3" i="7"/>
  <c r="F272" i="22"/>
  <c r="G267" i="22"/>
  <c r="F267" i="22"/>
  <c r="F271" i="22"/>
  <c r="F270" i="22"/>
  <c r="A2" i="37"/>
  <c r="A5" i="37"/>
  <c r="D12" i="29"/>
  <c r="A7" i="37"/>
  <c r="A4" i="37"/>
  <c r="A21" i="37"/>
  <c r="A10" i="37"/>
  <c r="A14" i="37"/>
  <c r="A23" i="37"/>
  <c r="A12" i="37"/>
  <c r="K7" i="37"/>
  <c r="K3" i="37"/>
  <c r="A15" i="37"/>
  <c r="A22" i="37"/>
  <c r="K5" i="37"/>
  <c r="A6" i="37"/>
  <c r="A20" i="37"/>
  <c r="A18" i="37"/>
  <c r="A19" i="37"/>
  <c r="A13" i="37"/>
  <c r="A11" i="37"/>
  <c r="A8" i="37"/>
  <c r="A3" i="37"/>
  <c r="K2" i="37"/>
  <c r="A17" i="37"/>
  <c r="K4" i="37"/>
  <c r="K6" i="37"/>
  <c r="A16" i="37"/>
  <c r="A9" i="37"/>
  <c r="C10" i="29"/>
  <c r="B52" i="29"/>
  <c r="B51" i="29"/>
  <c r="H13" i="7" l="1"/>
  <c r="F14" i="7"/>
  <c r="H15" i="7"/>
  <c r="F16" i="7"/>
  <c r="H17" i="7"/>
  <c r="F18" i="7"/>
  <c r="H19" i="7"/>
  <c r="F20" i="7"/>
  <c r="F13" i="7"/>
  <c r="H14" i="7"/>
  <c r="F15" i="7"/>
  <c r="H16" i="7"/>
  <c r="F17" i="7"/>
  <c r="H18" i="7"/>
  <c r="F19" i="7"/>
  <c r="H20" i="7"/>
  <c r="S36" i="1"/>
  <c r="M11" i="7"/>
  <c r="M9" i="7"/>
  <c r="M6" i="7"/>
  <c r="H30" i="7"/>
  <c r="F30" i="7"/>
  <c r="H29" i="7"/>
  <c r="F29" i="7"/>
  <c r="H28" i="7"/>
  <c r="F28" i="7"/>
  <c r="H27" i="7"/>
  <c r="F27" i="7"/>
  <c r="H26" i="7"/>
  <c r="F26" i="7"/>
  <c r="H25" i="7"/>
  <c r="F25" i="7"/>
  <c r="H24" i="7"/>
  <c r="F24" i="7"/>
  <c r="H23" i="7"/>
  <c r="F23" i="7"/>
  <c r="H22" i="7"/>
  <c r="F22" i="7"/>
  <c r="H21" i="7"/>
  <c r="F21" i="7"/>
  <c r="F3" i="7"/>
  <c r="H3" i="7"/>
  <c r="F4" i="7"/>
  <c r="H4" i="7"/>
  <c r="F5" i="7"/>
  <c r="H5" i="7"/>
  <c r="F6" i="7"/>
  <c r="H6" i="7"/>
  <c r="F7" i="7"/>
  <c r="H7" i="7"/>
  <c r="F8" i="7"/>
  <c r="H8" i="7"/>
  <c r="F9" i="7"/>
  <c r="H9" i="7"/>
  <c r="F10" i="7"/>
  <c r="H10" i="7"/>
  <c r="F11" i="7"/>
  <c r="H11" i="7"/>
  <c r="F12" i="7"/>
  <c r="H12" i="7"/>
  <c r="H2" i="7"/>
  <c r="F2" i="7"/>
  <c r="M5" i="7"/>
  <c r="R30" i="1"/>
  <c r="P30" i="1"/>
  <c r="Q30" i="1"/>
  <c r="P35" i="1" l="1"/>
  <c r="R27" i="1"/>
  <c r="P31" i="1"/>
  <c r="Q31" i="1"/>
  <c r="R31" i="1"/>
  <c r="Q35" i="1" s="1"/>
  <c r="Q28" i="1"/>
  <c r="R28" i="1"/>
  <c r="N35" i="1" s="1"/>
  <c r="P29" i="1"/>
  <c r="Q29" i="1"/>
  <c r="R29" i="1"/>
  <c r="O35" i="1" s="1"/>
  <c r="K56" i="7"/>
  <c r="J56" i="7"/>
  <c r="H56" i="7"/>
  <c r="Q27" i="1" l="1"/>
  <c r="Q33" i="1" s="1"/>
  <c r="P27" i="1"/>
  <c r="P33" i="1" s="1"/>
  <c r="R33" i="1"/>
  <c r="M4" i="7"/>
  <c r="I14" i="4"/>
  <c r="M35" i="1" l="1"/>
  <c r="S35" i="1" s="1"/>
  <c r="S10" i="9" s="1"/>
  <c r="K14" i="4"/>
  <c r="J14" i="4"/>
  <c r="G14" i="4"/>
  <c r="H14" i="4"/>
  <c r="L14" i="4"/>
  <c r="M10" i="7" l="1"/>
  <c r="U8" i="9"/>
  <c r="N25" i="1"/>
  <c r="N33" i="1" l="1"/>
  <c r="O33" i="1"/>
  <c r="Y27" i="1"/>
  <c r="Y29" i="1"/>
  <c r="Y28" i="1"/>
  <c r="Q7" i="9" l="1"/>
  <c r="M8" i="7"/>
  <c r="L14" i="23"/>
  <c r="N14" i="23" s="1"/>
  <c r="Q9" i="9" l="1"/>
  <c r="U7" i="9"/>
  <c r="L14" i="26"/>
  <c r="N14" i="26" s="1"/>
  <c r="L15" i="26" l="1"/>
  <c r="N15" i="26" s="1"/>
  <c r="G271" i="22" l="1"/>
  <c r="G268" i="22"/>
  <c r="I271" i="22" l="1"/>
  <c r="J271" i="22" s="1"/>
  <c r="G270" i="22"/>
  <c r="S9" i="9"/>
  <c r="I270" i="22" l="1"/>
  <c r="J270" i="22" s="1"/>
  <c r="J273" i="22" s="1"/>
  <c r="S12" i="9"/>
  <c r="I273"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0" authorId="0" shapeId="0" xr:uid="{00000000-0006-0000-0100-000001000000}">
      <text>
        <r>
          <rPr>
            <sz val="9"/>
            <color indexed="81"/>
            <rFont val="Tahoma"/>
            <family val="2"/>
          </rPr>
          <t>For FSMS (more than one shift), the applicant should expressed the total number of personnel, when deploys workers in the main shift, in case of the products and/or processes are similar, the FTE number will be calculated based on employees on the main shift including seasonal workers) plus office workers.</t>
        </r>
        <r>
          <rPr>
            <b/>
            <sz val="9"/>
            <color indexed="81"/>
            <rFont val="Tahoma"/>
            <family val="2"/>
          </rPr>
          <t xml:space="preserve">
</t>
        </r>
        <r>
          <rPr>
            <sz val="9"/>
            <color indexed="81"/>
            <rFont val="Tahoma"/>
            <family val="2"/>
          </rPr>
          <t xml:space="preserve">
</t>
        </r>
      </text>
    </comment>
    <comment ref="A20" authorId="0" shapeId="0" xr:uid="{00000000-0006-0000-0100-000002000000}">
      <text>
        <r>
          <rPr>
            <b/>
            <sz val="9"/>
            <color indexed="81"/>
            <rFont val="Tahoma"/>
            <family val="2"/>
          </rPr>
          <t>If different from above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6" authorId="0" shapeId="0" xr:uid="{00000000-0006-0000-0400-000001000000}">
      <text>
        <r>
          <rPr>
            <b/>
            <sz val="9"/>
            <color indexed="81"/>
            <rFont val="Tahoma"/>
            <family val="2"/>
          </rPr>
          <t>ex. 10000%, 8000%</t>
        </r>
        <r>
          <rPr>
            <sz val="9"/>
            <color indexed="81"/>
            <rFont val="Tahoma"/>
            <family val="2"/>
          </rPr>
          <t xml:space="preserve">
The level of integration of an organization’s management system, which should include a consideration of the auditee’s ability to respond to multi-aspect questions. 
An Integrated Management System results when an organization uses one single management system to manage multiple aspects of organizational performance. It is characterized by (but not limited to):  
1. An integrated documentation set, including work instructions to a good level of                 development, as appropriate; 
2. Management Reviews that consider the overall business strategy and plan; 
3. An integrated approach to internal audits; 
4. An integrated approach to policy and objectives; 
5. An integrated approach to systems processes; 
6. An integrated approach to improvement mechanisms, (corrective and preventive action;     measurement and continual Improvement); and, 
7. Integrated management support and responsibilities. </t>
        </r>
      </text>
    </comment>
    <comment ref="C8" authorId="0" shapeId="0" xr:uid="{00000000-0006-0000-0400-000002000000}">
      <text>
        <r>
          <rPr>
            <sz val="9"/>
            <color indexed="81"/>
            <rFont val="Tahoma"/>
            <family val="2"/>
          </rPr>
          <t xml:space="preserve">If you've more than one manufacturing site, please complete the details in the multi-site worksheet
</t>
        </r>
      </text>
    </comment>
    <comment ref="M14" authorId="0" shapeId="0" xr:uid="{00000000-0006-0000-0400-000003000000}">
      <text>
        <r>
          <rPr>
            <b/>
            <sz val="9"/>
            <color indexed="81"/>
            <rFont val="Tahoma"/>
            <family val="2"/>
          </rPr>
          <t>Total No. of HACCP Plans - 1</t>
        </r>
        <r>
          <rPr>
            <sz val="9"/>
            <color indexed="81"/>
            <rFont val="Tahoma"/>
            <family val="2"/>
          </rPr>
          <t xml:space="preserve">
</t>
        </r>
      </text>
    </comment>
    <comment ref="O23" authorId="0" shapeId="0" xr:uid="{00000000-0006-0000-0400-000004000000}">
      <text>
        <r>
          <rPr>
            <b/>
            <sz val="9"/>
            <color indexed="81"/>
            <rFont val="Tahoma"/>
            <family val="2"/>
          </rPr>
          <t>Additional times may to decrease the total audit duration</t>
        </r>
        <r>
          <rPr>
            <sz val="9"/>
            <color indexed="81"/>
            <rFont val="Tahoma"/>
            <family val="2"/>
          </rPr>
          <t xml:space="preserve">
</t>
        </r>
      </text>
    </comment>
    <comment ref="S23" authorId="0" shapeId="0" xr:uid="{00000000-0006-0000-0400-000005000000}">
      <text>
        <r>
          <rPr>
            <b/>
            <sz val="9"/>
            <color indexed="81"/>
            <rFont val="Tahoma"/>
            <family val="2"/>
          </rPr>
          <t>High Degree of Regulations</t>
        </r>
        <r>
          <rPr>
            <sz val="9"/>
            <color indexed="81"/>
            <rFont val="Tahoma"/>
            <family val="2"/>
          </rPr>
          <t xml:space="preserve">
</t>
        </r>
      </text>
    </comment>
    <comment ref="S26" authorId="0" shapeId="0" xr:uid="{00000000-0006-0000-0400-000006000000}">
      <text>
        <r>
          <rPr>
            <sz val="9"/>
            <color indexed="81"/>
            <rFont val="Tahoma"/>
            <family val="2"/>
          </rPr>
          <t>Increased/Decreased Time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47" authorId="0" shapeId="0" xr:uid="{00000000-0006-0000-0900-000001000000}">
      <text>
        <r>
          <rPr>
            <sz val="9"/>
            <color indexed="81"/>
            <rFont val="Tahoma"/>
            <family val="2"/>
          </rPr>
          <t xml:space="preserve">Calculating automatically
</t>
        </r>
      </text>
    </comment>
  </commentList>
</comments>
</file>

<file path=xl/sharedStrings.xml><?xml version="1.0" encoding="utf-8"?>
<sst xmlns="http://schemas.openxmlformats.org/spreadsheetml/2006/main" count="3658" uniqueCount="1092">
  <si>
    <t>Brilliant Certification</t>
  </si>
  <si>
    <t>BRILLIANT CERTIFICATION</t>
  </si>
  <si>
    <t>P1F01/L3</t>
  </si>
  <si>
    <t xml:space="preserve">        BRILLIANT CERTIFICATION</t>
  </si>
  <si>
    <r>
      <t xml:space="preserve">MS Questionnaire. </t>
    </r>
    <r>
      <rPr>
        <sz val="11"/>
        <color theme="1"/>
        <rFont val="Calibri"/>
        <family val="2"/>
        <scheme val="minor"/>
      </rPr>
      <t>Page 1/4</t>
    </r>
  </si>
  <si>
    <r>
      <t xml:space="preserve">MS Questionnaire. </t>
    </r>
    <r>
      <rPr>
        <sz val="11"/>
        <color theme="1"/>
        <rFont val="Calibri"/>
        <family val="2"/>
        <scheme val="minor"/>
      </rPr>
      <t>Page 2/4</t>
    </r>
  </si>
  <si>
    <r>
      <t xml:space="preserve">SECTION I – AUDIT CLIENT </t>
    </r>
    <r>
      <rPr>
        <sz val="11"/>
        <color theme="1"/>
        <rFont val="Calibri"/>
        <family val="2"/>
        <scheme val="minor"/>
      </rPr>
      <t>(All MS Schemes)</t>
    </r>
  </si>
  <si>
    <r>
      <t xml:space="preserve">SECTION V – SPECIFIED REQUIREMENTS </t>
    </r>
    <r>
      <rPr>
        <sz val="11"/>
        <color theme="1"/>
        <rFont val="Calibri"/>
        <family val="2"/>
        <scheme val="minor"/>
      </rPr>
      <t xml:space="preserve">(Food Safety) </t>
    </r>
    <r>
      <rPr>
        <b/>
        <sz val="11"/>
        <color theme="1"/>
        <rFont val="Calibri"/>
        <family val="2"/>
        <scheme val="minor"/>
      </rPr>
      <t xml:space="preserve"> </t>
    </r>
  </si>
  <si>
    <t>Applicant Name</t>
  </si>
  <si>
    <t>C.C.N.</t>
  </si>
  <si>
    <t>No of HACCP Plans</t>
  </si>
  <si>
    <t>No of packing line for each product/service</t>
  </si>
  <si>
    <t xml:space="preserve">Main Site Address </t>
  </si>
  <si>
    <t>Country</t>
  </si>
  <si>
    <t>Egypt</t>
  </si>
  <si>
    <t>No of CCPs</t>
  </si>
  <si>
    <t>No of operational PRPs for each HACCP Plan</t>
  </si>
  <si>
    <t>Contact Person</t>
  </si>
  <si>
    <t>Title</t>
  </si>
  <si>
    <t>GM</t>
  </si>
  <si>
    <t>Does it exist an internal laboratory?</t>
  </si>
  <si>
    <t>No</t>
  </si>
  <si>
    <t xml:space="preserve">Communication Methods </t>
  </si>
  <si>
    <t>Tel:</t>
  </si>
  <si>
    <t>Fax:</t>
  </si>
  <si>
    <t>E-mail:</t>
  </si>
  <si>
    <t>Is it accredited or recognized?/By whom?</t>
  </si>
  <si>
    <t xml:space="preserve">Legal Documents </t>
  </si>
  <si>
    <t>Com reg:</t>
  </si>
  <si>
    <t>Exp. Reg.:</t>
  </si>
  <si>
    <t xml:space="preserve">Tax ID: </t>
  </si>
  <si>
    <t xml:space="preserve">Are the tests carried out at a laboratory accredited or recognized?   </t>
  </si>
  <si>
    <r>
      <rPr>
        <b/>
        <sz val="11"/>
        <color rgb="FFFF0000"/>
        <rFont val="Wingdings 3"/>
        <family val="1"/>
        <charset val="2"/>
      </rPr>
      <t></t>
    </r>
    <r>
      <rPr>
        <b/>
        <sz val="10"/>
        <color theme="1"/>
        <rFont val="Calibri"/>
        <family val="2"/>
        <scheme val="minor"/>
      </rPr>
      <t>Adminstration Personnel</t>
    </r>
  </si>
  <si>
    <t>No. of Shift</t>
  </si>
  <si>
    <t>Shift Hours</t>
  </si>
  <si>
    <t>Main Shift</t>
  </si>
  <si>
    <t xml:space="preserve">If no, please provide us enough written details against the parameters and the methodology have used by the Lab in performing the test.  </t>
  </si>
  <si>
    <r>
      <rPr>
        <b/>
        <sz val="10"/>
        <color theme="1"/>
        <rFont val="Calibri"/>
        <family val="2"/>
        <scheme val="minor"/>
      </rPr>
      <t>EnMs Effective Personnel</t>
    </r>
    <r>
      <rPr>
        <b/>
        <sz val="11"/>
        <color theme="1"/>
        <rFont val="Calibri"/>
        <family val="2"/>
        <scheme val="minor"/>
      </rPr>
      <t xml:space="preserve"> </t>
    </r>
    <r>
      <rPr>
        <b/>
        <sz val="8"/>
        <color theme="1"/>
        <rFont val="Calibri"/>
        <family val="2"/>
        <scheme val="minor"/>
      </rPr>
      <t>e.g management, Operations,</t>
    </r>
  </si>
  <si>
    <r>
      <t></t>
    </r>
    <r>
      <rPr>
        <b/>
        <sz val="11"/>
        <color rgb="FFFF0000"/>
        <rFont val="Wingdings 3"/>
        <family val="1"/>
        <charset val="2"/>
      </rPr>
      <t></t>
    </r>
    <r>
      <rPr>
        <b/>
        <sz val="10"/>
        <color theme="1"/>
        <rFont val="Calibri"/>
        <family val="2"/>
        <scheme val="minor"/>
      </rPr>
      <t xml:space="preserve">Vocutional Personnel   </t>
    </r>
    <r>
      <rPr>
        <b/>
        <sz val="11"/>
        <color theme="1"/>
        <rFont val="Calibri"/>
        <family val="2"/>
        <scheme val="minor"/>
      </rPr>
      <t xml:space="preserve">  </t>
    </r>
    <r>
      <rPr>
        <sz val="8"/>
        <color theme="1"/>
        <rFont val="Calibri"/>
        <family val="2"/>
        <scheme val="minor"/>
      </rPr>
      <t>e.g. Production, Quality, Maintenance, etc...</t>
    </r>
  </si>
  <si>
    <t>Full Time</t>
  </si>
  <si>
    <t>Part Time</t>
  </si>
  <si>
    <t>Seasonal</t>
  </si>
  <si>
    <r>
      <rPr>
        <b/>
        <sz val="11"/>
        <color rgb="FFFF0000"/>
        <rFont val="Wingdings 3"/>
        <family val="1"/>
        <charset val="2"/>
      </rPr>
      <t></t>
    </r>
    <r>
      <rPr>
        <b/>
        <sz val="11"/>
        <color theme="1"/>
        <rFont val="Calibri"/>
        <family val="2"/>
        <scheme val="minor"/>
      </rPr>
      <t>Do you have outsourced or subcontracted activities?</t>
    </r>
  </si>
  <si>
    <t>Yes</t>
  </si>
  <si>
    <t>Hours</t>
  </si>
  <si>
    <t>W. Days</t>
  </si>
  <si>
    <r>
      <t xml:space="preserve">Did the organization have certified against relevant management system </t>
    </r>
    <r>
      <rPr>
        <sz val="9"/>
        <color theme="1"/>
        <rFont val="Calibri"/>
        <family val="2"/>
        <scheme val="minor"/>
      </rPr>
      <t>(means a quality or food safety system) which covers the same processes, products and services from accredited CB?</t>
    </r>
  </si>
  <si>
    <r>
      <rPr>
        <b/>
        <sz val="11"/>
        <color rgb="FFFF0000"/>
        <rFont val="Wingdings 3"/>
        <family val="1"/>
        <charset val="2"/>
      </rPr>
      <t></t>
    </r>
    <r>
      <rPr>
        <b/>
        <sz val="10"/>
        <color theme="1"/>
        <rFont val="Calibri"/>
        <family val="2"/>
        <scheme val="minor"/>
      </rPr>
      <t xml:space="preserve">Service Personnel  </t>
    </r>
    <r>
      <rPr>
        <b/>
        <sz val="11"/>
        <color theme="1"/>
        <rFont val="Calibri"/>
        <family val="2"/>
        <scheme val="minor"/>
      </rPr>
      <t xml:space="preserve">         </t>
    </r>
    <r>
      <rPr>
        <sz val="8"/>
        <color theme="1"/>
        <rFont val="Calibri"/>
        <family val="2"/>
        <scheme val="minor"/>
      </rPr>
      <t>e.g. Househeeping, Security, Transport, Sales, etc…</t>
    </r>
  </si>
  <si>
    <t>Scheme / Certification Body</t>
  </si>
  <si>
    <t>Cert. No.</t>
  </si>
  <si>
    <t>Scope of the certificate</t>
  </si>
  <si>
    <t>Valid until</t>
  </si>
  <si>
    <r>
      <t xml:space="preserve">SECTION II – AUDIT SCHEMES </t>
    </r>
    <r>
      <rPr>
        <sz val="11"/>
        <color theme="1"/>
        <rFont val="Calibri"/>
        <family val="2"/>
        <scheme val="minor"/>
      </rPr>
      <t>(All MS Schemes)</t>
    </r>
  </si>
  <si>
    <t xml:space="preserve">SECTION VI – SIGNATURE  </t>
  </si>
  <si>
    <t>Audit Standards</t>
  </si>
  <si>
    <t>FSM 2018</t>
  </si>
  <si>
    <t>Audit Form</t>
  </si>
  <si>
    <t>Seperatly</t>
  </si>
  <si>
    <r>
      <rPr>
        <b/>
        <sz val="9"/>
        <color theme="1"/>
        <rFont val="Calibri"/>
        <family val="2"/>
        <scheme val="minor"/>
      </rPr>
      <t>The organization hereby commits to:</t>
    </r>
    <r>
      <rPr>
        <sz val="9"/>
        <color theme="1"/>
        <rFont val="Calibri"/>
        <family val="2"/>
        <scheme val="minor"/>
      </rPr>
      <t xml:space="preserve">
1. Compliance with the certification requirements at all times,
2. Identify if there was a previous cooperation with BRILLIANT
3. Payment of the certification process fee established by BRILLIANT CERTIFICATION,
4. Communication of data updates to BRILLIANT CERTIFICATION,
5. The Terms &amp; Conditions set out in the BRILLIANT CERTIFICATION Client Service Contract.</t>
    </r>
  </si>
  <si>
    <t>Audit Type</t>
  </si>
  <si>
    <t>ISO Transition</t>
  </si>
  <si>
    <t>If "Others", Please provide more details</t>
  </si>
  <si>
    <t>A. Language</t>
  </si>
  <si>
    <t>Native</t>
  </si>
  <si>
    <t>Audit Scope</t>
  </si>
  <si>
    <t>A.B.</t>
  </si>
  <si>
    <t>EGAC</t>
  </si>
  <si>
    <t>Print Name</t>
  </si>
  <si>
    <t>Energy Sources (Only For ISO 50001:2018)</t>
  </si>
  <si>
    <r>
      <rPr>
        <b/>
        <sz val="11"/>
        <color rgb="FFFF0000"/>
        <rFont val="Wingdings 3"/>
        <family val="1"/>
        <charset val="2"/>
      </rPr>
      <t></t>
    </r>
    <r>
      <rPr>
        <b/>
        <sz val="11"/>
        <color theme="1"/>
        <rFont val="Calibri"/>
        <family val="2"/>
        <scheme val="minor"/>
      </rPr>
      <t>e-Signature</t>
    </r>
  </si>
  <si>
    <t>Date</t>
  </si>
  <si>
    <t>Significant Energy Uses (Only For ISO 50001:2018)</t>
  </si>
  <si>
    <t>Energy Consumption (Only For ISO 50001:2018)</t>
  </si>
  <si>
    <r>
      <t></t>
    </r>
    <r>
      <rPr>
        <b/>
        <sz val="11"/>
        <color rgb="FFFF0000"/>
        <rFont val="Wingdings 3"/>
        <family val="1"/>
        <charset val="2"/>
      </rPr>
      <t></t>
    </r>
    <r>
      <rPr>
        <b/>
        <sz val="11"/>
        <color theme="1"/>
        <rFont val="Calibri"/>
        <family val="2"/>
        <scheme val="minor"/>
      </rPr>
      <t>SECTION VII – Additional Notes</t>
    </r>
  </si>
  <si>
    <r>
      <t xml:space="preserve">Non-Applicability </t>
    </r>
    <r>
      <rPr>
        <sz val="10"/>
        <color theme="1"/>
        <rFont val="Calibri"/>
        <family val="2"/>
        <scheme val="minor"/>
      </rPr>
      <t>(Only for ISO 9001)</t>
    </r>
  </si>
  <si>
    <t>7.1.5 the company doesn't have any monitoring devices because they contracting with inspection company, 8.5.1(F) validation because they verified each process and they don't need any validation for their product, 8.5.3 Property belongs to customer and external providers because they don't receive any property from their customers or their external providers, 8.5.4 preservation because the company don't have any warehouse to preserve the product  , 8.5.5-Postdelivery due to the consumption nature of product  ,8.3- design due to the nature of product and the product doesn't need any design</t>
  </si>
  <si>
    <t>0% of integration system</t>
  </si>
  <si>
    <r>
      <t xml:space="preserve">SECTION III – MS CONSULTANCY </t>
    </r>
    <r>
      <rPr>
        <sz val="11"/>
        <color theme="1"/>
        <rFont val="Calibri"/>
        <family val="2"/>
        <scheme val="minor"/>
      </rPr>
      <t xml:space="preserve">(All Schemes) </t>
    </r>
    <r>
      <rPr>
        <b/>
        <sz val="11"/>
        <color theme="1"/>
        <rFont val="Calibri"/>
        <family val="2"/>
        <scheme val="minor"/>
      </rPr>
      <t xml:space="preserve"> </t>
    </r>
  </si>
  <si>
    <t xml:space="preserve">SECTION VIII – BRILLIANT OFFICE USE ONLY  </t>
  </si>
  <si>
    <t>Did you’ve a consultancy company help your organization in preparing the manual and/or procedures?</t>
  </si>
  <si>
    <t>Application Reviewer’s Note:</t>
  </si>
  <si>
    <t>What’s the name of this company?</t>
  </si>
  <si>
    <t>What’s the name of the consultant(s)?</t>
  </si>
  <si>
    <t>Project Execution?!</t>
  </si>
  <si>
    <t>Start Date</t>
  </si>
  <si>
    <t>End Date</t>
  </si>
  <si>
    <t>Name/Signature</t>
  </si>
  <si>
    <t xml:space="preserve">Ashraf Fathi </t>
  </si>
  <si>
    <t>App. Statue</t>
  </si>
  <si>
    <t>Create PRJ.</t>
  </si>
  <si>
    <r>
      <t xml:space="preserve">SECTION IV – STATUTORY AND REGULATORY </t>
    </r>
    <r>
      <rPr>
        <sz val="11"/>
        <color theme="1"/>
        <rFont val="Calibri"/>
        <family val="2"/>
        <scheme val="minor"/>
      </rPr>
      <t>(All Schemes)</t>
    </r>
    <r>
      <rPr>
        <b/>
        <sz val="11"/>
        <color theme="1"/>
        <rFont val="Calibri"/>
        <family val="2"/>
        <scheme val="minor"/>
      </rPr>
      <t xml:space="preserve">  </t>
    </r>
  </si>
  <si>
    <t>MS Questionnaire. Page 3/4</t>
  </si>
  <si>
    <t>MS Questionnaire. Page 4/4</t>
  </si>
  <si>
    <t>Hazards Identification - OH&amp;S MS Only</t>
  </si>
  <si>
    <t>Detailed Processes/Activities</t>
  </si>
  <si>
    <t>Key Hazards and OH&amp;S Risks</t>
  </si>
  <si>
    <t>The Main Hazardous Materials used in the Process</t>
  </si>
  <si>
    <t>Any Relevant Legal Obligations coming from the applicable OH&amp;S Legislation</t>
  </si>
  <si>
    <t>Site No.</t>
  </si>
  <si>
    <t xml:space="preserve">Site Address in details </t>
  </si>
  <si>
    <t>Site Scope</t>
  </si>
  <si>
    <t>Products/ Services</t>
  </si>
  <si>
    <t>No. of Employees</t>
  </si>
  <si>
    <t>Site Type</t>
  </si>
  <si>
    <t>Note2</t>
  </si>
  <si>
    <t>Main Office</t>
  </si>
  <si>
    <t>P1F05/L3</t>
  </si>
  <si>
    <r>
      <t xml:space="preserve">Calculation Sheet. </t>
    </r>
    <r>
      <rPr>
        <sz val="11"/>
        <color theme="1"/>
        <rFont val="Calibri"/>
        <family val="2"/>
        <scheme val="minor"/>
      </rPr>
      <t>Page 1/2</t>
    </r>
  </si>
  <si>
    <r>
      <t xml:space="preserve">Calculation Sheet. </t>
    </r>
    <r>
      <rPr>
        <sz val="11"/>
        <color theme="1"/>
        <rFont val="Calibri"/>
        <family val="2"/>
        <scheme val="minor"/>
      </rPr>
      <t>Page 2/2</t>
    </r>
  </si>
  <si>
    <t xml:space="preserve">CLIENT DETAILS </t>
  </si>
  <si>
    <t>FACTOR FOR ADJUSTMENTS OF AUDIT DURATION</t>
  </si>
  <si>
    <t>A.C.N.</t>
  </si>
  <si>
    <t>Client Name</t>
  </si>
  <si>
    <t>Q0</t>
  </si>
  <si>
    <t>Level of Integration %</t>
  </si>
  <si>
    <t>No. of standards for which an auditor is qualified relevant for the scope of the integrated audit</t>
  </si>
  <si>
    <t>Client Address</t>
  </si>
  <si>
    <t>Ratio %</t>
  </si>
  <si>
    <t>Manu. Site Address</t>
  </si>
  <si>
    <t>Ì</t>
  </si>
  <si>
    <t>Site</t>
  </si>
  <si>
    <t>PPS</t>
  </si>
  <si>
    <t>Execlusions</t>
  </si>
  <si>
    <t>Other below</t>
  </si>
  <si>
    <t xml:space="preserve">Calcuation of the Effective Number of Personnel - ISO/EnMS 50001 </t>
  </si>
  <si>
    <t>Full Time Employees</t>
  </si>
  <si>
    <t>T.N.E.</t>
  </si>
  <si>
    <t>No. of HACCP Study</t>
  </si>
  <si>
    <t>No. of Product Types</t>
  </si>
  <si>
    <t>No. of Product Lines</t>
  </si>
  <si>
    <t>E.N.P.</t>
  </si>
  <si>
    <t>No. of CCPs</t>
  </si>
  <si>
    <t>No. of OPRPs</t>
  </si>
  <si>
    <t>In-House Lab. Testing</t>
  </si>
  <si>
    <t>Did this site had  certificated before</t>
  </si>
  <si>
    <t>Which Standard?!</t>
  </si>
  <si>
    <t>Validity</t>
  </si>
  <si>
    <t xml:space="preserve">TECHNICAL CLASSIFICATION </t>
  </si>
  <si>
    <t xml:space="preserve">Total No. of NCS </t>
  </si>
  <si>
    <t>Major NCs</t>
  </si>
  <si>
    <t>Minor NCs</t>
  </si>
  <si>
    <t>OFI</t>
  </si>
  <si>
    <t>Code- technical Area-EnMS</t>
  </si>
  <si>
    <t>Activity</t>
  </si>
  <si>
    <t>Main Technical Areas - MDMS</t>
  </si>
  <si>
    <t>technical Area -MDMS</t>
  </si>
  <si>
    <t>Acc. Statue</t>
  </si>
  <si>
    <t>QMS</t>
  </si>
  <si>
    <t>EMS</t>
  </si>
  <si>
    <t>OHSMS</t>
  </si>
  <si>
    <t>FSMS</t>
  </si>
  <si>
    <t>MDMS</t>
  </si>
  <si>
    <t>EnMS</t>
  </si>
  <si>
    <t>A</t>
  </si>
  <si>
    <t>Non-active Medical Devices</t>
  </si>
  <si>
    <t>General non-active, non-implantable medical devices</t>
  </si>
  <si>
    <t xml:space="preserve">Staff Speaking </t>
  </si>
  <si>
    <t>Outsourced Process</t>
  </si>
  <si>
    <t>Notes</t>
  </si>
  <si>
    <t>Surveillance II</t>
  </si>
  <si>
    <t>L. Update</t>
  </si>
  <si>
    <t>Reduction %   (-)</t>
  </si>
  <si>
    <t>QMS Additional  (-)</t>
  </si>
  <si>
    <t>FSMS Additional (+)</t>
  </si>
  <si>
    <t>NC Close-Out (+)</t>
  </si>
  <si>
    <t>Translation (+)</t>
  </si>
  <si>
    <t>HDR (+)</t>
  </si>
  <si>
    <t>QMS Risk   (-/+)</t>
  </si>
  <si>
    <t xml:space="preserve">EH Complexity (-/+) </t>
  </si>
  <si>
    <t>OHS Risk  (-/+)</t>
  </si>
  <si>
    <t>MDMS Risk  (-/+)</t>
  </si>
  <si>
    <t>EnMS Risk  (-/+)</t>
  </si>
  <si>
    <t>Standard</t>
  </si>
  <si>
    <t>AUDIT TEAM JUSTIFICATION</t>
  </si>
  <si>
    <t>Stage 1</t>
  </si>
  <si>
    <t>Stage 2</t>
  </si>
  <si>
    <t>Surv.#1</t>
  </si>
  <si>
    <t>Surv.#2</t>
  </si>
  <si>
    <t>Re-cert</t>
  </si>
  <si>
    <t>I/D Time</t>
  </si>
  <si>
    <t xml:space="preserve"> Notes/Justifications</t>
  </si>
  <si>
    <t>Max Red (d)</t>
  </si>
  <si>
    <t>Auditor Name</t>
  </si>
  <si>
    <t>Role</t>
  </si>
  <si>
    <t xml:space="preserve">Due to </t>
  </si>
  <si>
    <t>X01</t>
  </si>
  <si>
    <t>Lead Auditor</t>
  </si>
  <si>
    <t>TOTAL</t>
  </si>
  <si>
    <t xml:space="preserve">Create Quotation </t>
  </si>
  <si>
    <t>Modifications - Review ATJIFs</t>
  </si>
  <si>
    <t>Total</t>
  </si>
  <si>
    <t>P1F04/L3</t>
  </si>
  <si>
    <r>
      <t xml:space="preserve">Quotation. </t>
    </r>
    <r>
      <rPr>
        <sz val="11"/>
        <color theme="1"/>
        <rFont val="Calibri"/>
        <family val="2"/>
        <scheme val="minor"/>
      </rPr>
      <t>Page 1/2</t>
    </r>
  </si>
  <si>
    <r>
      <t xml:space="preserve">Quotation. </t>
    </r>
    <r>
      <rPr>
        <sz val="11"/>
        <color theme="1"/>
        <rFont val="Calibri"/>
        <family val="2"/>
        <scheme val="minor"/>
      </rPr>
      <t>Page 2/2</t>
    </r>
  </si>
  <si>
    <t>COST DETAILS</t>
  </si>
  <si>
    <t>Rate</t>
  </si>
  <si>
    <t>Defualt</t>
  </si>
  <si>
    <t>Dis.</t>
  </si>
  <si>
    <t>Ref. No.</t>
  </si>
  <si>
    <t>Pre-Assessment Visit – Optional (1 day)/Follow-Up Visit:</t>
  </si>
  <si>
    <t xml:space="preserve">Total Audit Duration (Man/day), </t>
  </si>
  <si>
    <t>NO.</t>
  </si>
  <si>
    <t>N/A</t>
  </si>
  <si>
    <t>No. of Certificates</t>
  </si>
  <si>
    <t>A. Form</t>
  </si>
  <si>
    <t>Extra Notes:</t>
  </si>
  <si>
    <t>Others</t>
  </si>
  <si>
    <t>Total Amount</t>
  </si>
  <si>
    <r>
      <rPr>
        <b/>
        <sz val="9"/>
        <color theme="1"/>
        <rFont val="Calibri"/>
        <family val="2"/>
        <scheme val="minor"/>
      </rPr>
      <t>Notes</t>
    </r>
    <r>
      <rPr>
        <sz val="9"/>
        <color theme="1"/>
        <rFont val="Calibri"/>
        <family val="2"/>
        <scheme val="minor"/>
      </rPr>
      <t xml:space="preserve">
- No fee is charged for an application.
- Fees are only charged for the time related to audit or assessment activities e.g. the document review, the planning, main, initial, and surveillance 
- All travel and accommodation expenses are charged at rates agreed with the client. In certain instances, it may be possible to combine these expenses with an agreed day rate so as to give an overall fixed price package.
- The actual time required will depend as applicable on the products, processes, technologies, effects, number of employees, size of the operations and their complexity and will take into account any international guidelines.
- BRILLIANT will be pleased to provide an estimate of the timescales and costs, without any obligation to the client on request. A formal quotation is provided for each specific program. Special arrangements may be possible for smaller companies.
- The rates may vary depending on the type of activity assessment carried out i.e. whether pre assessment, initial or surveillance and travel and may be different according to the territory where the audit takes place.
- For multi-site organizations, BRILLIANT shall negotiate the fee for all the sites. BRILLIANT has a rate per auditor day for all initial and surveillance audit activities. Pre assessment activities are normally offered at a reduced rate.
- These fees together with the agreed travel and subsistence costs will be referenced in a contract and invoiced at the end of an agreed work period or at the end of the initial certification program.
- Payment terms will form part of the contract. BRILLIANT’s normal terms are for payment within 30 days of invoice.
 - Normal commercial practices will apply for the payment of BRILLIANT, which will be applied to invoices originating in Egypt.
 - The program of surveillance visits will be outlined during the certification planning stages and the number of auditor-days for on-going surveillance, confirmed prior to the issue of the certificate. A fee will be set based on the scheduled program and the current rate per auditor-day. The method of invoicing and payment will be the same as for the initial certification program above.
- Additional charges will be made, at the surveillance rate, for work arising from the audits outside BRILLIANT Offices, (if necessary), e.g. follow-up and verification audits to clear non-conformances found during either initial or surveillance audits.
- Certification assessments may be combined with other scheduled visits, such as Environmental, Occupational Health and Safety or Quality certification audits or as part of a multi-client program in the same area. Where this applies, all fees will be appropriately apportioned between the activities.
</t>
    </r>
  </si>
  <si>
    <t xml:space="preserve">Dear  </t>
  </si>
  <si>
    <t xml:space="preserve">Thank you for considering BRILLIANT CERTIFICATION to be your registrar. We are excited about the prospect of working with your organization and have enclosed our Proposal for Service for your review and consideration.
BRILLIANT CERTIFICATION is committed to Advancing Business Excellence by maximizing the value of your registration process. We partner with you to achieve your registration goals and objectives, whether your organization has implemented a management system in an effort to improve your overall organizational performance and profitability, enhance your competitive edge, or increase your customer credibility.
BRILLIANT CERTIFICATION offers:
Capability to provide certification to over 3 internationally recognized management system standards.
A dedicated full-service team experienced in your industry. 
Please feel free to contact us anytime at 002-0238518972 or info@brilliantcert.com for further information or clarification of our services.
Sincerely,
</t>
  </si>
  <si>
    <t>APPLICATION FOR REGISTERATION</t>
  </si>
  <si>
    <t>Create Contract</t>
  </si>
  <si>
    <r>
      <t>Signature</t>
    </r>
    <r>
      <rPr>
        <sz val="11"/>
        <color theme="1"/>
        <rFont val="Calibri"/>
        <family val="2"/>
        <scheme val="minor"/>
      </rPr>
      <t>:</t>
    </r>
  </si>
  <si>
    <t xml:space="preserve">This form created automatically based on data provided by the client in </t>
  </si>
  <si>
    <t>D03/L3</t>
  </si>
  <si>
    <r>
      <t xml:space="preserve">Client Service Contract. </t>
    </r>
    <r>
      <rPr>
        <sz val="11"/>
        <color theme="1"/>
        <rFont val="Calibri"/>
        <family val="2"/>
        <scheme val="minor"/>
      </rPr>
      <t>Page 1/12</t>
    </r>
  </si>
  <si>
    <r>
      <t xml:space="preserve">Client Service Contract. </t>
    </r>
    <r>
      <rPr>
        <sz val="11"/>
        <color theme="1"/>
        <rFont val="Calibri"/>
        <family val="2"/>
        <scheme val="minor"/>
      </rPr>
      <t>Page 2/12</t>
    </r>
  </si>
  <si>
    <t>BRILLIANT MANAGEMENT SYSTEMS</t>
  </si>
  <si>
    <t>1. BRILLIANT CERTIFICATION</t>
  </si>
  <si>
    <r>
      <t xml:space="preserve">Brilliant Certification is a certification body, and has one of the widest scopes, including ‎quality, environmental, occupational health &amp; safety, and food safety management systems in accordance to ‎ISO/IEC 17021-1:2015.
</t>
    </r>
    <r>
      <rPr>
        <b/>
        <sz val="11"/>
        <color theme="1"/>
        <rFont val="Calibri"/>
        <family val="2"/>
        <scheme val="minor"/>
      </rPr>
      <t>Please Visit our Website www.brilliantcert.com to know more.</t>
    </r>
  </si>
  <si>
    <t>Date of Application</t>
  </si>
  <si>
    <t>Contract No.</t>
  </si>
  <si>
    <t>Contract Date</t>
  </si>
  <si>
    <t xml:space="preserve">2. Why Brilliant Certification? </t>
  </si>
  <si>
    <t xml:space="preserve">The management system questionnaire will be treat as a part of this contract and needs to update periodically. </t>
  </si>
  <si>
    <t>Enables you to demonstrate that your processes, systems or services are compliant with international standards and regulations, through certification.
Aiming to be the most competitive and the most productive service organization in the world. its core competencies in certification is being continuously improved to be best-in-class. They are at the heart of what we are. Their chosen markets will be solely determined by their ability to be the most competitive and to consistently deliver unequalled service to their customers all over the world.</t>
  </si>
  <si>
    <t>CLIENT SERVICE CONTRACT
BETWEEN
BRILLIANT CERTIFICATION</t>
  </si>
  <si>
    <t>(enter agency name), if available</t>
  </si>
  <si>
    <t>3. Compliance and Corporate Governance</t>
  </si>
  <si>
    <t>AND</t>
  </si>
  <si>
    <t>One of the primary business objectives requires adherence to local, national and international laws, and the requirement that the employees show integrity and honesty in all their dealings. Risk management and internal controls are therefore embedded throughout Brilliant Certification, assuring the accuracy and validity of reports and certificates that provides to customers.</t>
  </si>
  <si>
    <t>This Contract is made and entered into by and between the Brilliant Certification, and the below named firm, hereinafter referred to as “CONTRACTOR.”</t>
  </si>
  <si>
    <r>
      <rPr>
        <b/>
        <sz val="11"/>
        <color rgb="FFFF0000"/>
        <rFont val="Wingdings 3"/>
        <family val="1"/>
        <charset val="2"/>
      </rPr>
      <t></t>
    </r>
    <r>
      <rPr>
        <b/>
        <sz val="11"/>
        <color theme="1"/>
        <rFont val="Calibri"/>
        <family val="2"/>
        <scheme val="minor"/>
      </rPr>
      <t xml:space="preserve">The client requires to read and obligate with the following documents before signing the contract and during the certification period and any update with these documents within this period. These documents made available on our official website www.brilliantcert.com  </t>
    </r>
  </si>
  <si>
    <r>
      <rPr>
        <b/>
        <sz val="11"/>
        <color theme="1"/>
        <rFont val="Calibri"/>
        <family val="2"/>
        <scheme val="minor"/>
      </rPr>
      <t>I.</t>
    </r>
    <r>
      <rPr>
        <sz val="11"/>
        <color theme="1"/>
        <rFont val="Calibri"/>
        <family val="2"/>
        <scheme val="minor"/>
      </rPr>
      <t xml:space="preserve"> Code of Practice 
</t>
    </r>
    <r>
      <rPr>
        <b/>
        <sz val="11"/>
        <color theme="1"/>
        <rFont val="Calibri"/>
        <family val="2"/>
        <scheme val="minor"/>
      </rPr>
      <t>II.</t>
    </r>
    <r>
      <rPr>
        <sz val="11"/>
        <color theme="1"/>
        <rFont val="Calibri"/>
        <family val="2"/>
        <scheme val="minor"/>
      </rPr>
      <t xml:space="preserve"> General Condition for Management System Certification
</t>
    </r>
    <r>
      <rPr>
        <b/>
        <sz val="11"/>
        <color theme="1"/>
        <rFont val="Calibri"/>
        <family val="2"/>
        <scheme val="minor"/>
      </rPr>
      <t>III.</t>
    </r>
    <r>
      <rPr>
        <sz val="11"/>
        <color theme="1"/>
        <rFont val="Calibri"/>
        <family val="2"/>
        <scheme val="minor"/>
      </rPr>
      <t xml:space="preserve"> Regulations Governing the Use of System Certification Logo</t>
    </r>
  </si>
  <si>
    <r>
      <rPr>
        <b/>
        <sz val="11"/>
        <color theme="1"/>
        <rFont val="Calibri"/>
        <family val="2"/>
        <scheme val="minor"/>
      </rPr>
      <t>3.2. What are our compliance goals?</t>
    </r>
    <r>
      <rPr>
        <sz val="11"/>
        <color theme="1"/>
        <rFont val="Calibri"/>
        <family val="2"/>
        <scheme val="minor"/>
      </rPr>
      <t xml:space="preserve">
</t>
    </r>
    <r>
      <rPr>
        <b/>
        <sz val="11"/>
        <color theme="1"/>
        <rFont val="Calibri"/>
        <family val="2"/>
        <scheme val="minor"/>
      </rPr>
      <t>I.</t>
    </r>
    <r>
      <rPr>
        <sz val="11"/>
        <color theme="1"/>
        <rFont val="Calibri"/>
        <family val="2"/>
        <scheme val="minor"/>
      </rPr>
      <t xml:space="preserve"> To avoid conflicts of interest and to act openly, responsibly and within the confines of the law and internationally accepted guidelines.
</t>
    </r>
    <r>
      <rPr>
        <b/>
        <sz val="11"/>
        <color theme="1"/>
        <rFont val="Calibri"/>
        <family val="2"/>
        <scheme val="minor"/>
      </rPr>
      <t xml:space="preserve">II. </t>
    </r>
    <r>
      <rPr>
        <sz val="11"/>
        <color theme="1"/>
        <rFont val="Calibri"/>
        <family val="2"/>
        <scheme val="minor"/>
      </rPr>
      <t xml:space="preserve">To implement current 'best practice' policies in all control procedures.
</t>
    </r>
    <r>
      <rPr>
        <b/>
        <sz val="11"/>
        <color theme="1"/>
        <rFont val="Calibri"/>
        <family val="2"/>
        <scheme val="minor"/>
      </rPr>
      <t>III.</t>
    </r>
    <r>
      <rPr>
        <sz val="11"/>
        <color theme="1"/>
        <rFont val="Calibri"/>
        <family val="2"/>
        <scheme val="minor"/>
      </rPr>
      <t xml:space="preserve"> To maintain a culture in which all employees know what is expected of them.
</t>
    </r>
    <r>
      <rPr>
        <b/>
        <sz val="11"/>
        <color theme="1"/>
        <rFont val="Calibri"/>
        <family val="2"/>
        <scheme val="minor"/>
      </rPr>
      <t>IV.</t>
    </r>
    <r>
      <rPr>
        <sz val="11"/>
        <color theme="1"/>
        <rFont val="Calibri"/>
        <family val="2"/>
        <scheme val="minor"/>
      </rPr>
      <t xml:space="preserve"> To monitor adherence to organisational controls and reporting procedures.
</t>
    </r>
  </si>
  <si>
    <t>UBI:</t>
  </si>
  <si>
    <t>Unified Business Identifier (UBI) number is a nine-digit number used to identify persons engaging in business activities. The number is assigned when a person completes a Business License Application to register with or obtain a license from state agencies.</t>
  </si>
  <si>
    <t>4. Declaration of Impartiality</t>
  </si>
  <si>
    <t xml:space="preserve">BRILLIANT has asked the CONTRACTOR to identify if there was a previous cooperation with BRILLIANT, and the  </t>
  </si>
  <si>
    <t>contractor notify that</t>
  </si>
  <si>
    <t>I DO NOT HAVE ANY PREVIOUS RELATIONS WITH BRILLIANT.</t>
  </si>
  <si>
    <r>
      <rPr>
        <sz val="11"/>
        <color rgb="FFFF0000"/>
        <rFont val="Wingdings 3"/>
        <family val="1"/>
        <charset val="2"/>
      </rPr>
      <t></t>
    </r>
    <r>
      <rPr>
        <sz val="11"/>
        <color theme="1"/>
        <rFont val="Calibri"/>
        <family val="2"/>
        <scheme val="minor"/>
      </rPr>
      <t xml:space="preserve">This contract valid for along 6 consequent years from the date of initiated contract, any modification will occur inside the contract shall subject to pre-acceptance from the two parties and attached to the contract as Amendments in the last page of this contract.  </t>
    </r>
  </si>
  <si>
    <r>
      <t xml:space="preserve">Client Service Contract. </t>
    </r>
    <r>
      <rPr>
        <sz val="11"/>
        <color theme="1"/>
        <rFont val="Calibri"/>
        <family val="2"/>
        <scheme val="minor"/>
      </rPr>
      <t>Page 3/12</t>
    </r>
  </si>
  <si>
    <r>
      <t xml:space="preserve">Client Service Contract. </t>
    </r>
    <r>
      <rPr>
        <sz val="11"/>
        <color theme="1"/>
        <rFont val="Calibri"/>
        <family val="2"/>
        <scheme val="minor"/>
      </rPr>
      <t>Page 4/12</t>
    </r>
  </si>
  <si>
    <t>The Client acknowledges that, in entering into the Contract, it does not rely on any representation, ‎warranty or other provision except as expressly provided in the Contract. Any conditions or stipulations ‎included in the Client standard form documents which are inconsistent with, or which purport to modify ‎or add to, the Certification Conditions will have no effect unless expressly accepted in writing by the ‎Company.</t>
  </si>
  <si>
    <r>
      <t xml:space="preserve">The Client will make available all the current 3 years’ cycle’s audit report and certificate available to Brilliant Certification, where this is a contract as a transferring certification.
</t>
    </r>
    <r>
      <rPr>
        <b/>
        <sz val="11"/>
        <color theme="1"/>
        <rFont val="Calibri"/>
        <family val="2"/>
        <scheme val="minor"/>
      </rPr>
      <t>In case of ISO 9001:2015, the information will be requested by the Auditor is not limited to Annex. SL (ISO/IEC 2015)</t>
    </r>
  </si>
  <si>
    <t>5. Technical Part</t>
  </si>
  <si>
    <r>
      <rPr>
        <b/>
        <sz val="11"/>
        <color theme="1"/>
        <rFont val="Calibri"/>
        <family val="2"/>
        <scheme val="minor"/>
      </rPr>
      <t xml:space="preserve">    5.1.3 Against ISO 14001:2004/2015 Environmental Management System</t>
    </r>
    <r>
      <rPr>
        <sz val="11"/>
        <color theme="1"/>
        <rFont val="Calibri"/>
        <family val="2"/>
        <scheme val="minor"/>
      </rPr>
      <t xml:space="preserve">
The Client will supply the Auditor with background information prior to the audit day to ensure the auditor is fully prepared and to provide the best opportunity for the audit to be completed efficiently. The information will be requested by the Auditor and may include but is not limited to: 4.3.1 – Environmental aspects and evaluations; 4.3.2 – Legal and other requirements; 4.4.6 – Operational controls; 4.4.7 – Emergency preparedness and response; 4.5.1 – Monitoring and measurement; 4.5.2 – Non-conformance, corrective action, Preventive action; 4.5.3 – Control records; 4.5.4 – EMS audit.
</t>
    </r>
    <r>
      <rPr>
        <b/>
        <sz val="11"/>
        <color theme="1"/>
        <rFont val="Calibri"/>
        <family val="2"/>
        <scheme val="minor"/>
      </rPr>
      <t>In case of ISO 14001:2015, the information will be requested by the Auditor is not limited to Annex. SL (ISO/IEC 2015)</t>
    </r>
    <r>
      <rPr>
        <sz val="11"/>
        <color theme="1"/>
        <rFont val="Calibri"/>
        <family val="2"/>
        <scheme val="minor"/>
      </rPr>
      <t xml:space="preserve">
</t>
    </r>
    <r>
      <rPr>
        <sz val="11"/>
        <color rgb="FFFF0000"/>
        <rFont val="Wingdings 3"/>
        <family val="1"/>
        <charset val="2"/>
      </rPr>
      <t></t>
    </r>
    <r>
      <rPr>
        <b/>
        <u/>
        <sz val="11"/>
        <color theme="1"/>
        <rFont val="Calibri"/>
        <family val="2"/>
        <scheme val="minor"/>
      </rPr>
      <t>The Client will make the previous year’s audit report and certificate available to Brilliant Certification, where this is a contract as a transferring certification. The client should be aware the certification documents against QMS 2008 and EMS 2004 will stop to issue in 14 September 2018, so the client's MS system shall be fully transfered to the latset issue of these standards before this date.</t>
    </r>
  </si>
  <si>
    <t>The purpose of this contract is to the realization of official registration, certification and auditing services in the sites.</t>
  </si>
  <si>
    <t>Certification Scheme</t>
  </si>
  <si>
    <t>Non-Applicability</t>
  </si>
  <si>
    <t>EA/CAT Code</t>
  </si>
  <si>
    <t>5.1 OBLIGATIONS OF THE CLIENT</t>
  </si>
  <si>
    <r>
      <rPr>
        <b/>
        <sz val="11"/>
        <color theme="1"/>
        <rFont val="Calibri"/>
        <family val="2"/>
        <scheme val="minor"/>
      </rPr>
      <t xml:space="preserve">   5.1.1 General</t>
    </r>
    <r>
      <rPr>
        <sz val="11"/>
        <color theme="1"/>
        <rFont val="Calibri"/>
        <family val="2"/>
        <scheme val="minor"/>
      </rPr>
      <t xml:space="preserve">
I. The Client will ensure that all necessary documents, information and facilities ‎are made available to the auditor when required; including the assistance of properly briefed and ‎authorized personnel of the Client. The Client will in addition provide the auditor free of charge ‎suitable space for conducting meetings.
II. In order to allow the auditor to comply with the applicable health and safety legislation, the Client ‎will provide the auditor with all available information regarding known or potential hazards likely ‎to be encountered by the auditor personnel during their visits. 
III. The auditor will ensure that whilst ‎on the Client's premises, its personnel comply with all health and safety regulations of the Client. ‎
IV. The client may to present a presence and justification of his observe(s) who appointed during the audit activity prior conducted of the audit with condition they not influence or interfere in the audit process or outcome of the audit. 
V. The client may to assign a guide to the audit team, unless otherwise agreed to by the audit team leader to facilitate the audit with condition they not influence or interfere in the audit process or outcome of the audit.
VI. The client where applicable, shall to accommodate the presence of observers e.g. accreditation auditors during the audits
VII. An Audit shall be repeated if it has not yet been carried out with activities, processes, products or services from the scope of certification can have an influence on the food safety of the end products as defined in the scope of certification. The client shall assure that the product and process lines to which the FSMS certified is applied shall be active and verified in processing during the audit.
VIII. The management of the audit program is responsibility of BRILLIANT, it has a process for choosing the audit day, time and season, so that the audit team has the opportunity of auditing the organization operating on a representative number of product lines, categories and subcategories covered by the scope of certification.</t>
    </r>
  </si>
  <si>
    <r>
      <t xml:space="preserve">   </t>
    </r>
    <r>
      <rPr>
        <b/>
        <sz val="11"/>
        <color theme="1"/>
        <rFont val="Calibri"/>
        <family val="2"/>
        <scheme val="minor"/>
      </rPr>
      <t xml:space="preserve"> </t>
    </r>
    <r>
      <rPr>
        <b/>
        <sz val="11"/>
        <color rgb="FFFF0000"/>
        <rFont val="Times New Roman"/>
        <family val="1"/>
      </rPr>
      <t>▲</t>
    </r>
    <r>
      <rPr>
        <b/>
        <sz val="11"/>
        <color theme="1"/>
        <rFont val="Calibri"/>
        <family val="2"/>
        <scheme val="minor"/>
      </rPr>
      <t>5.1.4 Against OHSAS 18001:2007/ISO 45001:2018 Health &amp; Safety Management System</t>
    </r>
    <r>
      <rPr>
        <sz val="11"/>
        <color theme="1"/>
        <rFont val="Calibri"/>
        <family val="2"/>
        <scheme val="minor"/>
      </rPr>
      <t xml:space="preserve">
The Client will supply the Auditor with background information prior to the audit day to ensure the auditor is fully prepared and to provide the best opportunity for the audit to be completed efficiently. The information will be requested by the Auditor and may include but is not limited to: 4.3.1 – Hazard identification, risk assessment and determining controls; 4.3.2 – Legal and other requirements; 4.4.6 – Operational controls; 4.4.7 – Emergency preparedness and response; 4.5.1 – Performance measurement and monitoring; 4.5.3 – Incident investigation, nonconformity, corrective action and preventive action; 4.5.4 – Control records; 4.5.5 – OH&amp;S audit. </t>
    </r>
    <r>
      <rPr>
        <b/>
        <u/>
        <sz val="10"/>
        <color theme="1"/>
        <rFont val="Calibri"/>
        <family val="2"/>
        <scheme val="minor"/>
      </rPr>
      <t>In case of ISO 45001:2018 the information will be requested by the Auditor is not limited to Annex. SL (ISO/IEC 2015). The Client will make the previous year’s audit report and certificate available to Brilliant Certification, where this is a contract as a transferring certification. The client should be aware the certification documents against OHSMS 2018 will stop to issue in March 2021, so the client's MS system shall be fully transfered to the latset issue of these standards before this date.</t>
    </r>
  </si>
  <si>
    <r>
      <t xml:space="preserve">    </t>
    </r>
    <r>
      <rPr>
        <b/>
        <sz val="11"/>
        <color theme="1"/>
        <rFont val="Calibri"/>
        <family val="2"/>
        <scheme val="minor"/>
      </rPr>
      <t>5.1.5 Against ISO 22000:2005 Food Safety Management System</t>
    </r>
    <r>
      <rPr>
        <sz val="11"/>
        <color theme="1"/>
        <rFont val="Calibri"/>
        <family val="2"/>
        <scheme val="minor"/>
      </rPr>
      <t xml:space="preserve">
The Client will supply the Auditor with background information prior to the audit day to ensure the auditor is fully prepared and to provide the best opportunity for the audit to be completed efficiently. The information will be requested by the Auditor and may include but is not limited to: 4.2.2 – Control of Documents; 4.2.3 – Control records; 5.7 – Emergency preparedness and response; 6.2 – Human Resources; 7.2 – Prerequisite programmes (PRPs); 7.4 – Hazard analysis; 7.5 – The operational prerequisite programmes (PRPs); 7.6.1 – HACCP plan; 7.10 – Control of non-conformity; 8.3 – Control of monitoring and measuring; 8.4.1 – Food Safety audit.
</t>
    </r>
    <r>
      <rPr>
        <b/>
        <sz val="11"/>
        <color theme="1"/>
        <rFont val="Calibri"/>
        <family val="2"/>
        <scheme val="minor"/>
      </rPr>
      <t>The Client will make the previous year’s audit report and certificate available to Brilliant Certification, where this is a contract as a transferring certification.</t>
    </r>
  </si>
  <si>
    <r>
      <t xml:space="preserve">  </t>
    </r>
    <r>
      <rPr>
        <b/>
        <sz val="11"/>
        <color theme="1"/>
        <rFont val="Calibri"/>
        <family val="2"/>
        <scheme val="minor"/>
      </rPr>
      <t>5.1.2 Against ISO 9001:2008/2015 Quality Management System</t>
    </r>
    <r>
      <rPr>
        <sz val="11"/>
        <color theme="1"/>
        <rFont val="Calibri"/>
        <family val="2"/>
        <scheme val="minor"/>
      </rPr>
      <t xml:space="preserve">
The Client will supply the Auditor with background information prior to the audit day to ensure the auditor is fully prepared and to provide the best opportunity for the audit to be completed efficiently. The information will be requested by the Auditor and may include but is not limited to: 4.2.3 – Control of Documents; 4.2.4 – Control of Records; 8.2.2 – Internal Audits; 8.3 – Control of NC Product; 8.5.2&amp;3 - Corrective and Preventive Action.</t>
    </r>
  </si>
  <si>
    <r>
      <t xml:space="preserve">Client Service Contract. </t>
    </r>
    <r>
      <rPr>
        <sz val="11"/>
        <color theme="1"/>
        <rFont val="Calibri"/>
        <family val="2"/>
        <scheme val="minor"/>
      </rPr>
      <t>Page 5/12</t>
    </r>
  </si>
  <si>
    <r>
      <t xml:space="preserve">Client Service Contract. </t>
    </r>
    <r>
      <rPr>
        <sz val="11"/>
        <color theme="1"/>
        <rFont val="Calibri"/>
        <family val="2"/>
        <scheme val="minor"/>
      </rPr>
      <t>Page 6/12</t>
    </r>
  </si>
  <si>
    <t>5.2 ASSESSING THE AUDIT DURATION</t>
  </si>
  <si>
    <r>
      <rPr>
        <b/>
        <sz val="11"/>
        <color theme="1"/>
        <rFont val="Calibri"/>
        <family val="2"/>
        <scheme val="minor"/>
      </rPr>
      <t xml:space="preserve">   5.5.1 NON-CONFORMITIES </t>
    </r>
    <r>
      <rPr>
        <sz val="11"/>
        <color theme="1"/>
        <rFont val="Calibri"/>
        <family val="2"/>
        <scheme val="minor"/>
      </rPr>
      <t xml:space="preserve">
</t>
    </r>
    <r>
      <rPr>
        <u/>
        <sz val="11"/>
        <color theme="1"/>
        <rFont val="Calibri"/>
        <family val="2"/>
        <scheme val="minor"/>
      </rPr>
      <t>There are two levels of non-conformity:</t>
    </r>
    <r>
      <rPr>
        <sz val="11"/>
        <color theme="1"/>
        <rFont val="Calibri"/>
        <family val="2"/>
        <scheme val="minor"/>
      </rPr>
      <t xml:space="preserve">
</t>
    </r>
    <r>
      <rPr>
        <b/>
        <sz val="11"/>
        <color theme="1"/>
        <rFont val="Calibri"/>
        <family val="2"/>
        <scheme val="minor"/>
      </rPr>
      <t>Major</t>
    </r>
    <r>
      <rPr>
        <sz val="11"/>
        <color theme="1"/>
        <rFont val="Calibri"/>
        <family val="2"/>
        <scheme val="minor"/>
      </rPr>
      <t xml:space="preserve"> – where there is a substantial failure to meet the requirements of or any clause of the Standard or a situation is identified which would, on the basis of available objective evidence, raise significant doubt as to the conformity of the quality/environmental impacts/hazards.
</t>
    </r>
    <r>
      <rPr>
        <b/>
        <sz val="11"/>
        <color theme="1"/>
        <rFont val="Calibri"/>
        <family val="2"/>
        <scheme val="minor"/>
      </rPr>
      <t>Minor</t>
    </r>
    <r>
      <rPr>
        <sz val="11"/>
        <color theme="1"/>
        <rFont val="Calibri"/>
        <family val="2"/>
        <scheme val="minor"/>
      </rPr>
      <t xml:space="preserve"> – where absolute compliance to the requirements of or any clause of the Standard or a situation has not been met, but on the basis of objective evidence the conformity of the quality/environmental impacts/hazards. And/or where a clause has not been fully met but, on the basis of objective evidence, the conformity of the quality/environmental impacts/hazards are not in doubt.</t>
    </r>
  </si>
  <si>
    <t>This information is listed below, if changes may be to re-assess the duration and the cost of the audit.</t>
  </si>
  <si>
    <t>T.N.E/E.N.P</t>
  </si>
  <si>
    <t>T.N.E/E.N.P-EnMS</t>
  </si>
  <si>
    <t>The size of the site</t>
  </si>
  <si>
    <t>No. of HACCP plan</t>
  </si>
  <si>
    <t>Complexity Factor</t>
  </si>
  <si>
    <t>Site Certificated Before!</t>
  </si>
  <si>
    <t>Audit Language</t>
  </si>
  <si>
    <t>No. of NCs (prv. audit)</t>
  </si>
  <si>
    <r>
      <rPr>
        <b/>
        <sz val="11"/>
        <color theme="1"/>
        <rFont val="Calibri"/>
        <family val="2"/>
        <scheme val="minor"/>
      </rPr>
      <t xml:space="preserve">   5.5.2 CLOSING OUT NON-CONFORMITIES </t>
    </r>
    <r>
      <rPr>
        <sz val="11"/>
        <color theme="1"/>
        <rFont val="Calibri"/>
        <family val="2"/>
        <scheme val="minor"/>
      </rPr>
      <t xml:space="preserve">
</t>
    </r>
    <r>
      <rPr>
        <b/>
        <sz val="11"/>
        <color theme="1"/>
        <rFont val="Calibri"/>
        <family val="2"/>
        <scheme val="minor"/>
      </rPr>
      <t>-</t>
    </r>
    <r>
      <rPr>
        <sz val="11"/>
        <color theme="1"/>
        <rFont val="Calibri"/>
        <family val="2"/>
        <scheme val="minor"/>
      </rPr>
      <t xml:space="preserve"> If satisfactory evidence against stage 1 audit findings is not provided </t>
    </r>
    <r>
      <rPr>
        <b/>
        <sz val="11"/>
        <color theme="1"/>
        <rFont val="Calibri"/>
        <family val="2"/>
        <scheme val="minor"/>
      </rPr>
      <t>within 30</t>
    </r>
    <r>
      <rPr>
        <sz val="11"/>
        <color theme="1"/>
        <rFont val="Calibri"/>
        <family val="2"/>
        <scheme val="minor"/>
      </rPr>
      <t xml:space="preserve"> days allowed for submission following the audit, Stage 2 audit will not be conducted. The company will then require a repeat stage 1 audit in order to be considered for certification.
</t>
    </r>
    <r>
      <rPr>
        <b/>
        <sz val="11"/>
        <color theme="1"/>
        <rFont val="Calibri"/>
        <family val="2"/>
        <scheme val="minor"/>
      </rPr>
      <t>-</t>
    </r>
    <r>
      <rPr>
        <sz val="11"/>
        <color theme="1"/>
        <rFont val="Calibri"/>
        <family val="2"/>
        <scheme val="minor"/>
      </rPr>
      <t xml:space="preserve"> If satisfactory evidence against stage 2 audit findings are not provided </t>
    </r>
    <r>
      <rPr>
        <b/>
        <sz val="11"/>
        <color theme="1"/>
        <rFont val="Calibri"/>
        <family val="2"/>
        <scheme val="minor"/>
      </rPr>
      <t>within 60</t>
    </r>
    <r>
      <rPr>
        <sz val="11"/>
        <color theme="1"/>
        <rFont val="Calibri"/>
        <family val="2"/>
        <scheme val="minor"/>
      </rPr>
      <t xml:space="preserve"> days allowed for submission following the audit. In a view of ISO/IEC 17021-1:2015 based on audit conclusions, it makes a decision to grant certification if there is sufficient evidence of conformity, or not to grant certification if there is not sufficient evidence of conformity.
</t>
    </r>
    <r>
      <rPr>
        <b/>
        <sz val="11"/>
        <color theme="1"/>
        <rFont val="Calibri"/>
        <family val="2"/>
        <scheme val="minor"/>
      </rPr>
      <t xml:space="preserve">- </t>
    </r>
    <r>
      <rPr>
        <sz val="11"/>
        <color theme="1"/>
        <rFont val="Calibri"/>
        <family val="2"/>
        <scheme val="minor"/>
      </rPr>
      <t xml:space="preserve">No certificate will be issued until major and minor non-conformities have been demonstrated as having been corrected that is acceptable to Brilliant Certification.
</t>
    </r>
    <r>
      <rPr>
        <b/>
        <sz val="11"/>
        <color theme="1"/>
        <rFont val="Calibri"/>
        <family val="2"/>
        <scheme val="minor"/>
      </rPr>
      <t xml:space="preserve">- </t>
    </r>
    <r>
      <rPr>
        <sz val="11"/>
        <color theme="1"/>
        <rFont val="Calibri"/>
        <family val="2"/>
        <scheme val="minor"/>
      </rPr>
      <t xml:space="preserve">The audit team leader will inform the auditee if an additional full audit, an additional limited audit, or documented evidence will be needed to verify effective correction and corrective actions.
</t>
    </r>
    <r>
      <rPr>
        <b/>
        <sz val="11"/>
        <color theme="1"/>
        <rFont val="Calibri"/>
        <family val="2"/>
        <scheme val="minor"/>
      </rPr>
      <t>-</t>
    </r>
    <r>
      <rPr>
        <sz val="11"/>
        <color theme="1"/>
        <rFont val="Calibri"/>
        <family val="2"/>
        <scheme val="minor"/>
      </rPr>
      <t xml:space="preserve"> For any other nonconformity, the audit team leader will review and accept the client’s planned correction and corrective actions
</t>
    </r>
    <r>
      <rPr>
        <b/>
        <sz val="11"/>
        <color theme="1"/>
        <rFont val="Calibri"/>
        <family val="2"/>
        <scheme val="minor"/>
      </rPr>
      <t>-</t>
    </r>
    <r>
      <rPr>
        <sz val="11"/>
        <color theme="1"/>
        <rFont val="Calibri"/>
        <family val="2"/>
        <scheme val="minor"/>
      </rPr>
      <t xml:space="preserve"> For each non-conformity raised, the site will, in addition to undertaking the necessary immediate corrective action, undertake a review of the underlying cause (root cause) of the non-conformity. The root cause will be identified and an action plan to correct this, including timescale, provided to Brilliant Certification. This will be included in the audit report.
</t>
    </r>
    <r>
      <rPr>
        <b/>
        <sz val="11"/>
        <color theme="1"/>
        <rFont val="Calibri"/>
        <family val="2"/>
        <scheme val="minor"/>
      </rPr>
      <t>-</t>
    </r>
    <r>
      <rPr>
        <sz val="11"/>
        <color theme="1"/>
        <rFont val="Calibri"/>
        <family val="2"/>
        <scheme val="minor"/>
      </rPr>
      <t xml:space="preserve"> Close out of non-conformities can be achieved either by objective evidence being submitted to Brilliant Certification, such as updated procedures, records, photographs or invoices for work undertaken, or by the Brilliant Certification undertaking a further on-site visit.
</t>
    </r>
    <r>
      <rPr>
        <b/>
        <sz val="11"/>
        <color theme="1"/>
        <rFont val="Calibri"/>
        <family val="2"/>
        <scheme val="minor"/>
      </rPr>
      <t>In some circumstances the number or severity of non-conformities raised at the audit prevent the site from being certificated following that audit. This will be the case where, the number or type of non-conformities exceeds the limits for certification</t>
    </r>
  </si>
  <si>
    <t>MS System form!</t>
  </si>
  <si>
    <t xml:space="preserve">5.3 CONDUCTING ON-SITE STAGE I AUDIT </t>
  </si>
  <si>
    <r>
      <rPr>
        <b/>
        <sz val="11"/>
        <color theme="1"/>
        <rFont val="Calibri"/>
        <family val="2"/>
        <scheme val="minor"/>
      </rPr>
      <t>The on-site stage 1 audit is consisting of the following stages:</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Opening meeting – to confirm the scope and process of the audit.
</t>
    </r>
    <r>
      <rPr>
        <b/>
        <sz val="11"/>
        <color theme="1"/>
        <rFont val="Calibri"/>
        <family val="2"/>
        <scheme val="minor"/>
      </rPr>
      <t>2.</t>
    </r>
    <r>
      <rPr>
        <sz val="11"/>
        <color theme="1"/>
        <rFont val="Calibri"/>
        <family val="2"/>
        <scheme val="minor"/>
      </rPr>
      <t xml:space="preserve"> Document review – a review of the documentation, detect the white spaces between documents.  
</t>
    </r>
    <r>
      <rPr>
        <b/>
        <sz val="11"/>
        <color theme="1"/>
        <rFont val="Calibri"/>
        <family val="2"/>
        <scheme val="minor"/>
      </rPr>
      <t>3.</t>
    </r>
    <r>
      <rPr>
        <sz val="11"/>
        <color theme="1"/>
        <rFont val="Calibri"/>
        <family val="2"/>
        <scheme val="minor"/>
      </rPr>
      <t xml:space="preserve"> Communicating during the audit – to observe changeover procedures, and interview of personnel
</t>
    </r>
    <r>
      <rPr>
        <b/>
        <sz val="11"/>
        <color theme="1"/>
        <rFont val="Calibri"/>
        <family val="2"/>
        <scheme val="minor"/>
      </rPr>
      <t>4.</t>
    </r>
    <r>
      <rPr>
        <sz val="11"/>
        <color theme="1"/>
        <rFont val="Calibri"/>
        <family val="2"/>
        <scheme val="minor"/>
      </rPr>
      <t xml:space="preserve"> Collecting and verifying information – to collect information relating to interfaces between functions, activities and processes. 
</t>
    </r>
    <r>
      <rPr>
        <b/>
        <sz val="11"/>
        <color theme="1"/>
        <rFont val="Calibri"/>
        <family val="2"/>
        <scheme val="minor"/>
      </rPr>
      <t>5.</t>
    </r>
    <r>
      <rPr>
        <sz val="11"/>
        <color theme="1"/>
        <rFont val="Calibri"/>
        <family val="2"/>
        <scheme val="minor"/>
      </rPr>
      <t xml:space="preserve"> Final review of findings by the auditor – preparation for the closing meeting
</t>
    </r>
    <r>
      <rPr>
        <b/>
        <sz val="11"/>
        <color theme="1"/>
        <rFont val="Calibri"/>
        <family val="2"/>
        <scheme val="minor"/>
      </rPr>
      <t>6.</t>
    </r>
    <r>
      <rPr>
        <sz val="11"/>
        <color theme="1"/>
        <rFont val="Calibri"/>
        <family val="2"/>
        <scheme val="minor"/>
      </rPr>
      <t xml:space="preserve"> Closing meeting – to review audit findings with the company. (Note that non-conformities are subject to subsequent independent verification by Brilliant’s management.)
</t>
    </r>
    <r>
      <rPr>
        <b/>
        <sz val="11"/>
        <color theme="1"/>
        <rFont val="Calibri"/>
        <family val="2"/>
        <scheme val="minor"/>
      </rPr>
      <t>The results of stage 1 will be informed to the client by our audit team leader and may lead to postponement or cancellation of the stage 2.</t>
    </r>
  </si>
  <si>
    <t xml:space="preserve">5.4 CONDUCTING ON-SITE STAGE II AUDIT </t>
  </si>
  <si>
    <r>
      <rPr>
        <b/>
        <sz val="11"/>
        <color theme="1"/>
        <rFont val="Calibri"/>
        <family val="2"/>
        <scheme val="minor"/>
      </rPr>
      <t>The on-site stage 2 audit is consisting of the following stages:</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Opening meeting – to confirm the scope and process of the audit.
</t>
    </r>
    <r>
      <rPr>
        <b/>
        <sz val="11"/>
        <color theme="1"/>
        <rFont val="Calibri"/>
        <family val="2"/>
        <scheme val="minor"/>
      </rPr>
      <t>2.</t>
    </r>
    <r>
      <rPr>
        <sz val="11"/>
        <color theme="1"/>
        <rFont val="Calibri"/>
        <family val="2"/>
        <scheme val="minor"/>
      </rPr>
      <t xml:space="preserve"> Evaluating the implementation – to assess the implementation and complying degree of the required standard by (key performance objectives, operational control, etc...) 
</t>
    </r>
    <r>
      <rPr>
        <b/>
        <sz val="11"/>
        <color theme="1"/>
        <rFont val="Calibri"/>
        <family val="2"/>
        <scheme val="minor"/>
      </rPr>
      <t xml:space="preserve">3. </t>
    </r>
    <r>
      <rPr>
        <sz val="11"/>
        <color theme="1"/>
        <rFont val="Calibri"/>
        <family val="2"/>
        <scheme val="minor"/>
      </rPr>
      <t xml:space="preserve">Communicating during the audit – to observe changeover procedures, and interview of personnel on site. 
</t>
    </r>
    <r>
      <rPr>
        <b/>
        <sz val="11"/>
        <color theme="1"/>
        <rFont val="Calibri"/>
        <family val="2"/>
        <scheme val="minor"/>
      </rPr>
      <t>4.</t>
    </r>
    <r>
      <rPr>
        <sz val="11"/>
        <color theme="1"/>
        <rFont val="Calibri"/>
        <family val="2"/>
        <scheme val="minor"/>
      </rPr>
      <t xml:space="preserve"> Collecting and verifying information – to collect information relating to interfaces between functions, activities and processes. 
</t>
    </r>
    <r>
      <rPr>
        <b/>
        <sz val="11"/>
        <color theme="1"/>
        <rFont val="Calibri"/>
        <family val="2"/>
        <scheme val="minor"/>
      </rPr>
      <t>5.</t>
    </r>
    <r>
      <rPr>
        <sz val="11"/>
        <color theme="1"/>
        <rFont val="Calibri"/>
        <family val="2"/>
        <scheme val="minor"/>
      </rPr>
      <t xml:space="preserve"> Final review of findings by the auditor – preparation for the closing meeting
</t>
    </r>
    <r>
      <rPr>
        <b/>
        <sz val="11"/>
        <color theme="1"/>
        <rFont val="Calibri"/>
        <family val="2"/>
        <scheme val="minor"/>
      </rPr>
      <t xml:space="preserve">6. </t>
    </r>
    <r>
      <rPr>
        <sz val="11"/>
        <color theme="1"/>
        <rFont val="Calibri"/>
        <family val="2"/>
        <scheme val="minor"/>
      </rPr>
      <t>Closing meeting – to review audit findings with the company. (Note that non-conformities are subject to subsequent independent verification by Brilliant’s management.)</t>
    </r>
  </si>
  <si>
    <t xml:space="preserve">5.6 AUDIT REPORTING </t>
  </si>
  <si>
    <t>Our auditor will prepare a full written report in the agreed format defined by BRILLIANT. The report will be produced in open text format in English or in another language dependent upon user needs.
Regularly the audit report accurately reflects the findings of the auditor during the audit and shall prepared by the audit team leader to present at the closing meeting of each stage but, may to prepare and dispatched to the company (Auditee) within seven calendar days in initial certification (10 calendar days against integrated management systems in initial certification) of the completion of each stage audit (stage 1&amp;2),</t>
  </si>
  <si>
    <t>5.5 NON-CONFORMITIES AND CORRECTIVE ACTION</t>
  </si>
  <si>
    <t>The level of non-conformity assigned by an auditor against a req. of the Standard is an objective judgement with respect to severity and risk and is based on evidence collected and observations made during the audit. This is verified by Brilliant’s management.</t>
  </si>
  <si>
    <r>
      <t xml:space="preserve">Client Service Contract. </t>
    </r>
    <r>
      <rPr>
        <sz val="11"/>
        <color theme="1"/>
        <rFont val="Calibri"/>
        <family val="2"/>
        <scheme val="minor"/>
      </rPr>
      <t>Page 7/12</t>
    </r>
  </si>
  <si>
    <r>
      <t xml:space="preserve">Client Service Contract. </t>
    </r>
    <r>
      <rPr>
        <sz val="11"/>
        <color theme="1"/>
        <rFont val="Calibri"/>
        <family val="2"/>
        <scheme val="minor"/>
      </rPr>
      <t>Page 8/12</t>
    </r>
  </si>
  <si>
    <r>
      <t xml:space="preserve">will be decreased by 3-4 calendar days in surveillance visits/recertification in case sensing the audit team that the report writing will reduce the total on-site audit duration to less than 80% of the time shown in the audit plan and there is notoriously difficult to extent the time of audit plan.
</t>
    </r>
    <r>
      <rPr>
        <b/>
        <sz val="11"/>
        <color theme="1"/>
        <rFont val="Calibri"/>
        <family val="2"/>
        <scheme val="minor"/>
      </rPr>
      <t xml:space="preserve">- </t>
    </r>
    <r>
      <rPr>
        <sz val="11"/>
        <color theme="1"/>
        <rFont val="Calibri"/>
        <family val="2"/>
        <scheme val="minor"/>
      </rPr>
      <t xml:space="preserve">Audit report will remain the property of the company commissioning the audit and will not be released, in whole or part, to a third party unless the company has given prior consent (unless otherwise required by law). 
</t>
    </r>
    <r>
      <rPr>
        <b/>
        <sz val="11"/>
        <color theme="1"/>
        <rFont val="Calibri"/>
        <family val="2"/>
        <scheme val="minor"/>
      </rPr>
      <t xml:space="preserve">- </t>
    </r>
    <r>
      <rPr>
        <sz val="11"/>
        <color theme="1"/>
        <rFont val="Calibri"/>
        <family val="2"/>
        <scheme val="minor"/>
      </rPr>
      <t xml:space="preserve">The audit report and associated documentation, including the auditor’s notes, will be stored safely and securely for a period of six years by Brilliant Certification. 
</t>
    </r>
    <r>
      <rPr>
        <b/>
        <sz val="11"/>
        <color theme="1"/>
        <rFont val="Calibri"/>
        <family val="2"/>
        <scheme val="minor"/>
      </rPr>
      <t xml:space="preserve">- </t>
    </r>
    <r>
      <rPr>
        <sz val="11"/>
        <color theme="1"/>
        <rFont val="Calibri"/>
        <family val="2"/>
        <scheme val="minor"/>
      </rPr>
      <t>The ownership of the audit report will be maintained by Brilliant Certification</t>
    </r>
  </si>
  <si>
    <t xml:space="preserve"> -- Recertification audit activities may need to have a stage 1 audit in situations where there have been significant changes to the management system, the client, or the context in which the management system is operating (e.g. changes to legislation).
 -- Clause 5.2, 5.4, 5.5 &amp; 5.6 are applicable for ‎re-certification audits. 
 -- Clause 5.3 may to apply in case any significant changes inside the documentation system of the client.</t>
  </si>
  <si>
    <t>5.10 CERTIFICATE TRANSFER</t>
  </si>
  <si>
    <r>
      <t xml:space="preserve"> -- Our Certification Manager will carry out a review of the certification of the prospective client. This review will be conducted by means of a documentation review and should, normally, include a visit to the prospective client.
 -- Reasons for not conducting a visit shall be fully justified and documented and a visit will be conducted if no contact can be made with the issuing certification body. </t>
    </r>
    <r>
      <rPr>
        <b/>
        <u/>
        <sz val="11"/>
        <color theme="1"/>
        <rFont val="Calibri"/>
        <family val="2"/>
        <scheme val="minor"/>
      </rPr>
      <t>The review will cover the following aspects and its findings will be fully documented:</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Confirmation that the client’s certified activities fall within the accredited scope of BRILLIANT;
</t>
    </r>
    <r>
      <rPr>
        <b/>
        <sz val="11"/>
        <color theme="1"/>
        <rFont val="Calibri"/>
        <family val="2"/>
        <scheme val="minor"/>
      </rPr>
      <t>2.</t>
    </r>
    <r>
      <rPr>
        <sz val="11"/>
        <color theme="1"/>
        <rFont val="Calibri"/>
        <family val="2"/>
        <scheme val="minor"/>
      </rPr>
      <t xml:space="preserve"> The reasons for seeking a transfer;
</t>
    </r>
    <r>
      <rPr>
        <b/>
        <sz val="11"/>
        <color theme="1"/>
        <rFont val="Calibri"/>
        <family val="2"/>
        <scheme val="minor"/>
      </rPr>
      <t>3.</t>
    </r>
    <r>
      <rPr>
        <sz val="11"/>
        <color theme="1"/>
        <rFont val="Calibri"/>
        <family val="2"/>
        <scheme val="minor"/>
      </rPr>
      <t xml:space="preserve"> That the site or sites wishing to transfer certification hold an accredited certification that is valid in terms of authenticity, duration and scope of activities covered by the management system certification. If practical, the validity of certification and the status of outstanding nonconformities should be verified with the issuing certification body unless it has ceased trading. Where it has not been possible to communicate with the issuing certification body, our assessor will record the reasons;
</t>
    </r>
    <r>
      <rPr>
        <b/>
        <sz val="11"/>
        <color theme="1"/>
        <rFont val="Calibri"/>
        <family val="2"/>
        <scheme val="minor"/>
      </rPr>
      <t>4.</t>
    </r>
    <r>
      <rPr>
        <sz val="11"/>
        <color theme="1"/>
        <rFont val="Calibri"/>
        <family val="2"/>
        <scheme val="minor"/>
      </rPr>
      <t xml:space="preserve"> A consideration of the last certification or recertification audit reports, subsequent surveillance reports and any outstanding nonconformities that may arise from them. This consideration shall also include any other available, relevant documentation regarding the certification process i.e. handwritten notes, checklists. If the last certification, recertification or subsequent surveillance audit reports are not made available or if the surveillance audit is overdue then the organisation shall be treated as a new client;
</t>
    </r>
    <r>
      <rPr>
        <b/>
        <sz val="11"/>
        <color theme="1"/>
        <rFont val="Calibri"/>
        <family val="2"/>
        <scheme val="minor"/>
      </rPr>
      <t>5.</t>
    </r>
    <r>
      <rPr>
        <sz val="11"/>
        <color theme="1"/>
        <rFont val="Calibri"/>
        <family val="2"/>
        <scheme val="minor"/>
      </rPr>
      <t xml:space="preserve"> Complaints received and action taken;
</t>
    </r>
    <r>
      <rPr>
        <b/>
        <sz val="11"/>
        <color theme="1"/>
        <rFont val="Calibri"/>
        <family val="2"/>
        <scheme val="minor"/>
      </rPr>
      <t>6.</t>
    </r>
    <r>
      <rPr>
        <sz val="11"/>
        <color theme="1"/>
        <rFont val="Calibri"/>
        <family val="2"/>
        <scheme val="minor"/>
      </rPr>
      <t xml:space="preserve"> The stage in the current certification cycle and only valid accredited certification will be transferred; and
</t>
    </r>
    <r>
      <rPr>
        <b/>
        <sz val="11"/>
        <color theme="1"/>
        <rFont val="Calibri"/>
        <family val="2"/>
        <scheme val="minor"/>
      </rPr>
      <t>7.</t>
    </r>
    <r>
      <rPr>
        <sz val="11"/>
        <color theme="1"/>
        <rFont val="Calibri"/>
        <family val="2"/>
        <scheme val="minor"/>
      </rPr>
      <t xml:space="preserve"> Any current engagement by the organisation with regulatory bodies in respect of legal compliance.</t>
    </r>
  </si>
  <si>
    <r>
      <rPr>
        <b/>
        <sz val="11"/>
        <color rgb="FFFF0000"/>
        <rFont val="Wingdings 3"/>
        <family val="1"/>
        <charset val="2"/>
      </rPr>
      <t></t>
    </r>
    <r>
      <rPr>
        <b/>
        <sz val="11"/>
        <color theme="1"/>
        <rFont val="Calibri"/>
        <family val="2"/>
        <scheme val="minor"/>
      </rPr>
      <t>5.7 CERTIFICATION</t>
    </r>
  </si>
  <si>
    <r>
      <t xml:space="preserve">A certification decision of Brilliant Certification will be conduct by the designated independent members are not associated in audit process within 7 calendar days from receiving the audit report and documentary evidence provided in relation to the non-conformities identified, this period may to decreased by 3-4 calendar days in surveillance visits/recertification.  After a successful review of the audit report and documentary evidence provided in relation to the non-conformities identified. Where a certificate is granted this will be issued by Brilliant Certification within 2 calendar days from the decision. </t>
    </r>
    <r>
      <rPr>
        <b/>
        <sz val="11"/>
        <color theme="1"/>
        <rFont val="Calibri"/>
        <family val="2"/>
        <scheme val="minor"/>
      </rPr>
      <t>See the table below.</t>
    </r>
    <r>
      <rPr>
        <sz val="11"/>
        <color theme="1"/>
        <rFont val="Calibri"/>
        <family val="2"/>
        <scheme val="minor"/>
      </rPr>
      <t xml:space="preserve">
</t>
    </r>
    <r>
      <rPr>
        <b/>
        <u/>
        <sz val="11"/>
        <color theme="1"/>
        <rFont val="Calibri"/>
        <family val="2"/>
        <scheme val="minor"/>
      </rPr>
      <t/>
    </r>
  </si>
  <si>
    <t>BRILLIANT's website is a searchable list of certified clients, which show in public</t>
  </si>
  <si>
    <t xml:space="preserve">The certificate is a certification document, remains property of BRILLIANT and must be returned upon its request. </t>
  </si>
  <si>
    <t>1. Accreditation Body;</t>
  </si>
  <si>
    <t>1. Standard document used for audit;</t>
  </si>
  <si>
    <t>2. Standard document used for audit;</t>
  </si>
  <si>
    <t>2. The name and geographic location(s);</t>
  </si>
  <si>
    <t>3. The name and geographic location(s);</t>
  </si>
  <si>
    <t>3. The scope of certification and any accepted exclusions from scope and etc...,</t>
  </si>
  <si>
    <t>4. The scope of certification;</t>
  </si>
  <si>
    <t>5. The certificate number;</t>
  </si>
  <si>
    <t>4. The certificate number;</t>
  </si>
  <si>
    <t>6. The date of latest issue of the certificate;</t>
  </si>
  <si>
    <t>5. The date of originally registration and Expire date;</t>
  </si>
  <si>
    <t>7. Expire date;</t>
  </si>
  <si>
    <t>8. Current status.</t>
  </si>
  <si>
    <t>8. The name, address and certification mark of BRILLIANT CERTIFICATION, and the accreditation symbol</t>
  </si>
  <si>
    <t>5.8 SURVEILLANCE VISITS</t>
  </si>
  <si>
    <t xml:space="preserve"> -- The on-going audit schedule and choice of audit program will be agreed between the company and Brilliant Certification. The frequency of visits will be 12 months.
 --The date of subsequent visits (surveillances) will be calculated by not more than 12-month from the last day of the last audit, irrespective of whether further site visits were made to verify corrective action arising from the initial audit. 
 -- It is the responsibility of the company to maintain certification. Where an audit is delayed beyond the expire date of certificate, except in justifiable circumstances, this will result in a full audit being conducted. Justifiable circumstances will be documented in the audit report.
 -- Clause 5.2, 5.4, 5.5 &amp; 5.6 are applicable for ‎surveillance visits.</t>
  </si>
  <si>
    <t>5.11 SPECIAL AUDITS</t>
  </si>
  <si>
    <r>
      <rPr>
        <b/>
        <sz val="11"/>
        <color theme="1"/>
        <rFont val="Calibri"/>
        <family val="2"/>
        <scheme val="minor"/>
      </rPr>
      <t xml:space="preserve">   5.11.1 TECHNICAL CHANGES TO SCOPE</t>
    </r>
    <r>
      <rPr>
        <sz val="11"/>
        <color theme="1"/>
        <rFont val="Calibri"/>
        <family val="2"/>
        <scheme val="minor"/>
      </rPr>
      <t xml:space="preserve">
A technical change to scope is where the scope of certification is ‎added to, reduced or modified to reflect an increase or decrease ‎in capability. If an area of client’s scope becomes redundant, the certification documents must be changed to reflect the ‎current reduced scope of activities. ‎
</t>
    </r>
    <r>
      <rPr>
        <b/>
        <sz val="11"/>
        <color theme="1"/>
        <rFont val="Calibri"/>
        <family val="2"/>
        <scheme val="minor"/>
      </rPr>
      <t>1.</t>
    </r>
    <r>
      <rPr>
        <sz val="11"/>
        <color theme="1"/>
        <rFont val="Calibri"/>
        <family val="2"/>
        <scheme val="minor"/>
      </rPr>
      <t xml:space="preserve"> The audit team shall include a Lead Auditor and other appropriately qualified individuals, as needed. ‎
</t>
    </r>
    <r>
      <rPr>
        <b/>
        <sz val="11"/>
        <color theme="1"/>
        <rFont val="Calibri"/>
        <family val="2"/>
        <scheme val="minor"/>
      </rPr>
      <t>2.</t>
    </r>
    <r>
      <rPr>
        <sz val="11"/>
        <color theme="1"/>
        <rFont val="Calibri"/>
        <family val="2"/>
        <scheme val="minor"/>
      </rPr>
      <t xml:space="preserve"> ‎The both of Management System Questionnaire and the Client Service Contract shall be reviewed and updated as necessary.
</t>
    </r>
    <r>
      <rPr>
        <b/>
        <sz val="11"/>
        <color theme="1"/>
        <rFont val="Calibri"/>
        <family val="2"/>
        <scheme val="minor"/>
      </rPr>
      <t>3.</t>
    </r>
    <r>
      <rPr>
        <sz val="11"/>
        <color theme="1"/>
        <rFont val="Calibri"/>
        <family val="2"/>
        <scheme val="minor"/>
      </rPr>
      <t xml:space="preserve"> The following documentation shall be collected in the order ‎shown and shall be forwarded to the certifying office: ‎
           </t>
    </r>
    <r>
      <rPr>
        <b/>
        <sz val="11"/>
        <color theme="1"/>
        <rFont val="Calibri"/>
        <family val="2"/>
        <scheme val="minor"/>
      </rPr>
      <t>a.</t>
    </r>
    <r>
      <rPr>
        <sz val="11"/>
        <color theme="1"/>
        <rFont val="Calibri"/>
        <family val="2"/>
        <scheme val="minor"/>
      </rPr>
      <t xml:space="preserve"> Released Management System Questionnaire;
           </t>
    </r>
    <r>
      <rPr>
        <b/>
        <sz val="11"/>
        <color theme="1"/>
        <rFont val="Calibri"/>
        <family val="2"/>
        <scheme val="minor"/>
      </rPr>
      <t>b.</t>
    </r>
    <r>
      <rPr>
        <sz val="11"/>
        <color theme="1"/>
        <rFont val="Calibri"/>
        <family val="2"/>
        <scheme val="minor"/>
      </rPr>
      <t xml:space="preserve"> Released Audit Duration &amp; Certification Fee;
           </t>
    </r>
    <r>
      <rPr>
        <b/>
        <sz val="11"/>
        <color theme="1"/>
        <rFont val="Calibri"/>
        <family val="2"/>
        <scheme val="minor"/>
      </rPr>
      <t>c.</t>
    </r>
    <r>
      <rPr>
        <sz val="11"/>
        <color theme="1"/>
        <rFont val="Calibri"/>
        <family val="2"/>
        <scheme val="minor"/>
      </rPr>
      <t xml:space="preserve"> Released Client Service Contract;
           </t>
    </r>
    <r>
      <rPr>
        <b/>
        <sz val="11"/>
        <color theme="1"/>
        <rFont val="Calibri"/>
        <family val="2"/>
        <scheme val="minor"/>
      </rPr>
      <t>d.</t>
    </r>
    <r>
      <rPr>
        <sz val="11"/>
        <color theme="1"/>
        <rFont val="Calibri"/>
        <family val="2"/>
        <scheme val="minor"/>
      </rPr>
      <t xml:space="preserve"> Sited Audit Plan;
e. Completed Audit Report;
f. Any correspondence with the client during the audit process;
g. Clients Feedback.
This may be conducted in conjunction with a surveillance audit.
</t>
    </r>
  </si>
  <si>
    <t>5.9 RECERTIFICATION AUDIT</t>
  </si>
  <si>
    <t>The re-certification audit schedule and choice of audit program will be agreed between the company and Brilliant Certification. The frequency of audit will be three years.
 -- The date of the re-certification audit will be calculated from the last day of second surveillance audit, irrespective of whether further site visits were made to verify corrective action arising from the 2nd surv. visit.</t>
  </si>
  <si>
    <r>
      <t xml:space="preserve">Client Service Contract. </t>
    </r>
    <r>
      <rPr>
        <sz val="11"/>
        <color theme="1"/>
        <rFont val="Calibri"/>
        <family val="2"/>
        <scheme val="minor"/>
      </rPr>
      <t>Page 9/12</t>
    </r>
  </si>
  <si>
    <r>
      <t xml:space="preserve">Client Service Contract. </t>
    </r>
    <r>
      <rPr>
        <sz val="11"/>
        <color theme="1"/>
        <rFont val="Calibri"/>
        <family val="2"/>
        <scheme val="minor"/>
      </rPr>
      <t>Page 10/12</t>
    </r>
  </si>
  <si>
    <r>
      <rPr>
        <b/>
        <sz val="11"/>
        <color theme="1"/>
        <rFont val="Calibri"/>
        <family val="2"/>
        <scheme val="minor"/>
      </rPr>
      <t xml:space="preserve">   </t>
    </r>
    <r>
      <rPr>
        <b/>
        <sz val="11"/>
        <color rgb="FFFF0000"/>
        <rFont val="Wingdings 3"/>
        <family val="1"/>
        <charset val="2"/>
      </rPr>
      <t></t>
    </r>
    <r>
      <rPr>
        <b/>
        <sz val="11"/>
        <color theme="1"/>
        <rFont val="Calibri"/>
        <family val="2"/>
        <scheme val="minor"/>
      </rPr>
      <t>5.11.2 SHORT-NOTICE AUDITS</t>
    </r>
    <r>
      <rPr>
        <sz val="11"/>
        <color theme="1"/>
        <rFont val="Calibri"/>
        <family val="2"/>
        <scheme val="minor"/>
      </rPr>
      <t xml:space="preserve">
BRILLIANT CERTIFICATION will give its certified clients due notice of any changes to its requirements
for certification, then shall verify that each certified client complies with the new requirements. 
BRILLIANT CERTIFICATION may conduct audits of certified clients at short notice or unannounced to
</t>
    </r>
    <r>
      <rPr>
        <b/>
        <sz val="11"/>
        <color theme="1"/>
        <rFont val="Calibri"/>
        <family val="2"/>
        <scheme val="minor"/>
      </rPr>
      <t>1.</t>
    </r>
    <r>
      <rPr>
        <sz val="11"/>
        <color theme="1"/>
        <rFont val="Calibri"/>
        <family val="2"/>
        <scheme val="minor"/>
      </rPr>
      <t xml:space="preserve"> Response to changes to the requirements for our certification, where verify that each certified client complies with the new requirements;
</t>
    </r>
    <r>
      <rPr>
        <b/>
        <sz val="11"/>
        <color theme="1"/>
        <rFont val="Calibri"/>
        <family val="2"/>
        <scheme val="minor"/>
      </rPr>
      <t>2.</t>
    </r>
    <r>
      <rPr>
        <sz val="11"/>
        <color theme="1"/>
        <rFont val="Calibri"/>
        <family val="2"/>
        <scheme val="minor"/>
      </rPr>
      <t xml:space="preserve"> Response to changes of matters by the certified clients that may affect the capability of the management system to continue to fulfil the requirements of the standard used for certification. These include, changes relating to
           </t>
    </r>
    <r>
      <rPr>
        <b/>
        <sz val="11"/>
        <color theme="1"/>
        <rFont val="Calibri"/>
        <family val="2"/>
        <scheme val="minor"/>
      </rPr>
      <t>a.</t>
    </r>
    <r>
      <rPr>
        <sz val="11"/>
        <color theme="1"/>
        <rFont val="Calibri"/>
        <family val="2"/>
        <scheme val="minor"/>
      </rPr>
      <t xml:space="preserve"> The legal, commercial, organizational status or ownership,
           </t>
    </r>
    <r>
      <rPr>
        <b/>
        <sz val="11"/>
        <color theme="1"/>
        <rFont val="Calibri"/>
        <family val="2"/>
        <scheme val="minor"/>
      </rPr>
      <t>b.</t>
    </r>
    <r>
      <rPr>
        <sz val="11"/>
        <color theme="1"/>
        <rFont val="Calibri"/>
        <family val="2"/>
        <scheme val="minor"/>
      </rPr>
      <t xml:space="preserve"> Organization and management (e.g. key managerial, decision-making or technical staff),
           </t>
    </r>
    <r>
      <rPr>
        <b/>
        <sz val="11"/>
        <color theme="1"/>
        <rFont val="Calibri"/>
        <family val="2"/>
        <scheme val="minor"/>
      </rPr>
      <t>c.</t>
    </r>
    <r>
      <rPr>
        <sz val="11"/>
        <color theme="1"/>
        <rFont val="Calibri"/>
        <family val="2"/>
        <scheme val="minor"/>
      </rPr>
      <t xml:space="preserve"> Contact address and sites,
           </t>
    </r>
    <r>
      <rPr>
        <b/>
        <sz val="11"/>
        <color theme="1"/>
        <rFont val="Calibri"/>
        <family val="2"/>
        <scheme val="minor"/>
      </rPr>
      <t>d.</t>
    </r>
    <r>
      <rPr>
        <sz val="11"/>
        <color theme="1"/>
        <rFont val="Calibri"/>
        <family val="2"/>
        <scheme val="minor"/>
      </rPr>
      <t xml:space="preserve"> Scope of operations under the certified management system, and
           </t>
    </r>
    <r>
      <rPr>
        <b/>
        <sz val="11"/>
        <color theme="1"/>
        <rFont val="Calibri"/>
        <family val="2"/>
        <scheme val="minor"/>
      </rPr>
      <t>e.</t>
    </r>
    <r>
      <rPr>
        <sz val="11"/>
        <color theme="1"/>
        <rFont val="Calibri"/>
        <family val="2"/>
        <scheme val="minor"/>
      </rPr>
      <t xml:space="preserve"> Major changes to the management system and processes.
</t>
    </r>
    <r>
      <rPr>
        <b/>
        <sz val="11"/>
        <color theme="1"/>
        <rFont val="Calibri"/>
        <family val="2"/>
        <scheme val="minor"/>
      </rPr>
      <t>3</t>
    </r>
    <r>
      <rPr>
        <sz val="11"/>
        <color theme="1"/>
        <rFont val="Calibri"/>
        <family val="2"/>
        <scheme val="minor"/>
      </rPr>
      <t xml:space="preserve">. Investigate complaints;
</t>
    </r>
    <r>
      <rPr>
        <b/>
        <sz val="11"/>
        <color theme="1"/>
        <rFont val="Calibri"/>
        <family val="2"/>
        <scheme val="minor"/>
      </rPr>
      <t>4.</t>
    </r>
    <r>
      <rPr>
        <sz val="11"/>
        <color theme="1"/>
        <rFont val="Calibri"/>
        <family val="2"/>
        <scheme val="minor"/>
      </rPr>
      <t xml:space="preserve"> Follow-up on the suspended clients</t>
    </r>
  </si>
  <si>
    <r>
      <rPr>
        <b/>
        <sz val="11"/>
        <color theme="1"/>
        <rFont val="Calibri"/>
        <family val="2"/>
        <scheme val="minor"/>
      </rPr>
      <t>1.</t>
    </r>
    <r>
      <rPr>
        <sz val="11"/>
        <color theme="1"/>
        <rFont val="Calibri"/>
        <family val="2"/>
        <scheme val="minor"/>
      </rPr>
      <t xml:space="preserve"> If the surveillance indicates minor non-conformance to the relevant system requirements and the same is not cleared even after lapse of initial time period given for corrective actions
</t>
    </r>
    <r>
      <rPr>
        <b/>
        <sz val="11"/>
        <color theme="1"/>
        <rFont val="Calibri"/>
        <family val="2"/>
        <scheme val="minor"/>
      </rPr>
      <t>2.</t>
    </r>
    <r>
      <rPr>
        <sz val="11"/>
        <color theme="1"/>
        <rFont val="Calibri"/>
        <family val="2"/>
        <scheme val="minor"/>
      </rPr>
      <t xml:space="preserve"> If the surveillance indicates major non-conformance to the relevant system requirements
3. If improper use of the Certificate or Logo/Mark is not rectified to the satisfaction of BRILLIANT.
</t>
    </r>
    <r>
      <rPr>
        <b/>
        <sz val="11"/>
        <color theme="1"/>
        <rFont val="Calibri"/>
        <family val="2"/>
        <scheme val="minor"/>
      </rPr>
      <t>4.</t>
    </r>
    <r>
      <rPr>
        <sz val="11"/>
        <color theme="1"/>
        <rFont val="Calibri"/>
        <family val="2"/>
        <scheme val="minor"/>
      </rPr>
      <t xml:space="preserve"> If there has been any other contravention of the applicable requirements or rules of procedures of BRILLIANT.
 -- Upon approval by the certification decision committee a formal suspension ‎notification is sent to the client via registered mail (or similar carrier ensuring signed ‎receipt records), along with a letter explaining that the client must cease any ‎promotion of its certification, including any use of the certification mark during ‎the suspension period (the maximum allowable suspension period is 6 months). ‎
 -- </t>
    </r>
    <r>
      <rPr>
        <b/>
        <sz val="11"/>
        <color theme="1"/>
        <rFont val="Calibri"/>
        <family val="2"/>
        <scheme val="minor"/>
      </rPr>
      <t xml:space="preserve">The suspension notice shall require a written response including a written ‎corrective action plan from the client within 10 working days. </t>
    </r>
  </si>
  <si>
    <t>5.14 WITHDRAWAL/REDUCING THE SCOPE OF CERTIFICATION OF CERTIFICATION</t>
  </si>
  <si>
    <t xml:space="preserve"> -- Certification will be withdrawn/reducing the scope of certification where a client's management system ‎demonstrates significant nonconformity with the audit standard or planned ‎arrangements and a failure in its ability to react to and correct the ‎nonconformities in a timely manner. Failure of the client to pay BRILLIANT invoices provided or a failure of the client to provide BRILLIANT auditors access to the certified facility for audit ‎purposes may also result in withdrawal/reducing the scope of certification of the certification. ‎
 -- In most cases withdrawal/reducing the scope of certification will be preceded by a suspension of the certification, ‎but in cases of server nonconformity or failure of the client to cooperate, ‎withdrawal may occur immediately. ‎
‎ -- Upon approval by the certification decision committee, a formal withdrawal/reducing the scope of certification notification  is sent to the client via registered mail (or similar ‎carrier ensuring signed receipt records), along with a request for return of the ‎certificate.‎</t>
  </si>
  <si>
    <t>5.12 COMMUNICATION WITH BRILLIANT CERTIFICATION</t>
  </si>
  <si>
    <r>
      <t xml:space="preserve">In the event that any circumstances change within the company that may affect the validity of continuing certification, the company must immediately notify Brilliant Certification. These may include:
■■ Legal proceedings with respect to safety or legality
■■ Product recall
■■ Significant damage to the site, e.g. natural disaster such as flood or damage by fire
■■ Change of ownership.
Brilliant Certification in turn will take appropriate steps to assess the situation and any implications for the certification, and will take any appropriate action.
Information will be provided to Brilliant Certification by the certified client on request so that an assessment can be made as to the effect on the validity of the current certificate.
</t>
    </r>
    <r>
      <rPr>
        <b/>
        <sz val="11"/>
        <color theme="1"/>
        <rFont val="Calibri"/>
        <family val="2"/>
        <scheme val="minor"/>
      </rPr>
      <t>Brilliant Certification may as appropriate:</t>
    </r>
    <r>
      <rPr>
        <sz val="11"/>
        <color theme="1"/>
        <rFont val="Calibri"/>
        <family val="2"/>
        <scheme val="minor"/>
      </rPr>
      <t xml:space="preserve">
■■ Confirm the validity of certification
■■ Suspend certification pending further investigation
■■ Require further details of corrective action taken by the company
■■ Undertake a site visit to verify the control of processes and confirm continued certification
■■ Withdraw certification
■■ Issue a new certificate with the new owners’ details.
</t>
    </r>
    <r>
      <rPr>
        <b/>
        <sz val="11"/>
        <color theme="1"/>
        <rFont val="Calibri"/>
        <family val="2"/>
        <scheme val="minor"/>
      </rPr>
      <t xml:space="preserve">
Changes to the certification status of a company will be recorded on the official website of BRILLIANT.</t>
    </r>
  </si>
  <si>
    <t>5.15 CANCELLATION OF CERTIFICATION</t>
  </si>
  <si>
    <t xml:space="preserve"> -- Cancellation of a certification occurs when the client no longer desires to ‎maintain their certification with BRILLIANT or the certificate is ‎superseded by another. ‎
 -- When cancellation is required by formal request from the client, the relative information is appropriately ‎completed and formal cancellation letter is sent to the client along with a letter ‎detailing the fact that the client must immediately cease any claims of certification including any ‎use of the certification mark and request return of their certificate. </t>
  </si>
  <si>
    <t>5.16 APPEALS AND COMPLAINT</t>
  </si>
  <si>
    <t xml:space="preserve"> -- The Client has the right to appeal any of the decisions made by BRILLIANT CERTIFICATION staff.
Notification of the intention to appeal must be made in writing and received by BRILLIANT CERTIFICATION within seven days of receipt. An Appeals Form will be sent to the Client for completion and must be returned to BRILLIANT CERTIFICATION within 15 days of receipt, supported by relevant facts and data for consideration during the Appeals Procedure.
 -- All appeals are forwarded to BRILLIANT CERTIFICATION and are put before the appeal's committee. BRILLIANT CERTIFICATION shall be required to submit evidence to support its decision. Any decision of BRILLIANT CERTIFICATION shall remain in force until the outcome of the appeal.</t>
  </si>
  <si>
    <t>5.13 SUSPENSION OF CERTIFICATION</t>
  </si>
  <si>
    <t xml:space="preserve">Management system certification may be suspended by BRILLIANT at any time the condition of the management system cannot be ‎verified or is verified as not being effectively maintained. Certifications may also ‎be suspended in cases where the client fails to meet the requirements of their ‎contract with BRILLIANT including failure to satisfy invoices in ‎a timely manner and unable to meet visit timing rules as well as </t>
  </si>
  <si>
    <r>
      <t xml:space="preserve">Client Service Contract. </t>
    </r>
    <r>
      <rPr>
        <sz val="11"/>
        <color theme="1"/>
        <rFont val="Calibri"/>
        <family val="2"/>
        <scheme val="minor"/>
      </rPr>
      <t>Page 11/12</t>
    </r>
  </si>
  <si>
    <r>
      <t xml:space="preserve">Client Service Contract. </t>
    </r>
    <r>
      <rPr>
        <sz val="11"/>
        <color theme="1"/>
        <rFont val="Calibri"/>
        <family val="2"/>
        <scheme val="minor"/>
      </rPr>
      <t>Page 12/12</t>
    </r>
  </si>
  <si>
    <t xml:space="preserve"> -- The decision of the appeal's committee shall be final and binding on both the Client and BRILLIANT CERTIFICATION. Once the decision regarding an appeal has been made, no counter-claim by either party in dispute can be made to amend or change this decision. In instances where the appeal has been successful no claim can be made against BRILLIANT CERTIFICATION for reimbursement of costs or any other losses incurred.
 -- Should the Client have cause to complain regarding the conduct of BRILLIANT staff, the complaint should be made in writing and addressed to the Operation Manager of BRILLIANT? Should the complaint be made against the Operations Manager, the letter of complaint should be addressed to the Supervisory Committee of BRILLIANT CERTIFICATION</t>
  </si>
  <si>
    <t>6.2 CONTRACT MANAGEMENT</t>
  </si>
  <si>
    <t>Legal Representative for CONTRACTOR is:</t>
  </si>
  <si>
    <t>Contract Manager for BRILLIANT is:</t>
  </si>
  <si>
    <t>YASSER FAROUK MOSTAFA</t>
  </si>
  <si>
    <t xml:space="preserve">1, El Mehwar El Markazy, Building #24 District 1, </t>
  </si>
  <si>
    <t>El-Sheikh Zayed, Giza Governorate - Egypt</t>
  </si>
  <si>
    <t>6. Financial Part</t>
  </si>
  <si>
    <t>Phone: (002) 38518972/3</t>
  </si>
  <si>
    <r>
      <rPr>
        <b/>
        <sz val="10"/>
        <color theme="1"/>
        <rFont val="Calibri"/>
        <family val="2"/>
        <scheme val="minor"/>
      </rPr>
      <t>Customer who signs this contract duly accepts that;</t>
    </r>
    <r>
      <rPr>
        <sz val="10"/>
        <color theme="1"/>
        <rFont val="Calibri"/>
        <family val="2"/>
        <scheme val="minor"/>
      </rPr>
      <t xml:space="preserve">
 -- 70% down payment when contracting, will pay within maximum 15 days of receiving the contract and 30% when recieving the audit report(s).
 -- Any objective evidence found that indicates that the applicant has been misusing the BRILLIANT claim will be arising expenses are charged to the customer.in addition, the applicants will be listed and the list must be checked before registration in the data base.
 -- After this contract is signed, if customer cancels before the certification process started, Brilliant Certification is obliged to pay 35% of Registration of contracted fees. 
 -- After this contract is signed, if customer cancels after the certification process started, Brilliant Certification is obliged to pay 10% of Registration of contracted fees.
 -- Cost of travel, accommodation and other expenses are not included into contract fees and these costs are paid by the customer additionally.</t>
    </r>
  </si>
  <si>
    <t>E-mail address: info@brilliantcert.com</t>
  </si>
  <si>
    <t>_________________________________________________________________________________________</t>
  </si>
  <si>
    <r>
      <rPr>
        <b/>
        <sz val="11"/>
        <color rgb="FFFF0000"/>
        <rFont val="Calibri"/>
        <family val="2"/>
        <scheme val="minor"/>
      </rPr>
      <t>▲</t>
    </r>
    <r>
      <rPr>
        <b/>
        <sz val="11"/>
        <color theme="1"/>
        <rFont val="Calibri"/>
        <family val="2"/>
        <scheme val="minor"/>
      </rPr>
      <t xml:space="preserve"> 6.3 GOVERNING LAW &amp; Applicable Courts</t>
    </r>
  </si>
  <si>
    <r>
      <rPr>
        <sz val="11"/>
        <color rgb="FFFF0000"/>
        <rFont val="Calibri"/>
        <family val="2"/>
        <scheme val="minor"/>
      </rPr>
      <t>▲</t>
    </r>
    <r>
      <rPr>
        <sz val="11"/>
        <color theme="1"/>
        <rFont val="Calibri"/>
        <family val="2"/>
        <scheme val="minor"/>
      </rPr>
      <t xml:space="preserve">This agreement is governed by the laws of the Arab Republic of Egypt as proclaimed and applicable to Egypt in which Brilliant Certification; Business is carried out under this agreement. And for this any court;
case, sue in the court(s) (Local or Internation) will be perform only in Egypt (Giza courts with all levels including 6th of October City Coursts) . </t>
    </r>
  </si>
  <si>
    <r>
      <rPr>
        <b/>
        <sz val="11"/>
        <color rgb="FFFF0000"/>
        <rFont val="Calibri"/>
        <family val="2"/>
        <scheme val="minor"/>
      </rPr>
      <t xml:space="preserve">▲ </t>
    </r>
    <r>
      <rPr>
        <b/>
        <sz val="11"/>
        <rFont val="Calibri"/>
        <family val="2"/>
        <scheme val="minor"/>
      </rPr>
      <t>6.4</t>
    </r>
    <r>
      <rPr>
        <b/>
        <sz val="11"/>
        <color theme="1"/>
        <rFont val="Calibri"/>
        <family val="2"/>
        <scheme val="minor"/>
      </rPr>
      <t xml:space="preserve">  FEE STRUCTURE FOR CERTIFICATION</t>
    </r>
  </si>
  <si>
    <t xml:space="preserve"> -- The following is a guide to the BRILLIANT fee structure and charges involved in the certification process for Management Systems Certification audits.
 -- No fee is charged for an application.
 -- Fees are only charged for the time related to audit or assessment activities e.g. the document review, the planning, main, and initial, surveillance or verification audits and in specified circumstances, the travel time associated with these activities.
 -- All travel and accommodation expenses are charged at rates agreed with the client. In certain instances, it may be possible to combine these expenses with an agreed day rate so as to give an overall fixed price package.
 -- The actual time required will depend as applicable on the products, processes, technologies, effects, number of employees, size of the operations and their complexity and will take into account any international guidelines.
 -- BRILLIANT will be pleased to provide an estimate of the timescales and costs, without any obligation to the client on request. A formal quotation is provided for each specific program. Special arrangements may be possible for smaller companies.
 -- The rates may vary depending on the type of activity assessment carried out i.e. whether pre assessment, initial or surveillance and travel and may be different according to the territory where the audit takes place.
 -- For multi-site organizations, BRILLIANT shall negotiate the fee for all the sites. BRILLIANT has a rate per auditor day for all initial and surveillance audit activities. Pre assessment activities are normally offered at a reduced rate.
 -- All travel and accommodation expenses are charged to the client at agreed rates.
 -- The number of auditor-days required to complete the applicable activities for the initial certification program, planning visit, documentation review and to complete the main assessment will be determined by the appointed lead auditor, (after discussion with the client). From this, a fee will be set, based on the current applicable rates per auditor-day.
 -- These fees together with the agreed travel and subsistence costs will be referenced in a contract and invoiced at the end of an agreed work period or at the end of the initial certification program.
 -- Payment terms will form part of the contract. BRILLIANT’s normal terms are for payment within 15 days of invoice.
 -- Normal commercial practices will apply for the payment of BRILLIANT, which will be applied to invoices originating in Egypt.
 -- The program of surveillance visits will be outlined during the certification planning stages and the number of auditor-days for on-going surveillance, confirmed prior to the issue of the certificate. A fee will be set based on the scheduled program and the current rate per auditor-day. The method of invoicing and payment will be the same as for the initial certification program above.
 -- Additional charges will be made, at the surveillance rate, for work arising from the audits outside BRILLIANT Offices, (if necessary), e.g. follow-up and verification audits to clear non-conformances found during either initial or surveillance audits.
 -- Certification assessments may be combined with other scheduled visits, such as Environmental, Occupational Health and Safety or Quality certification audits or as part of a multi-client program in the same area. Where this applies, all fees will be appropriately apportioned between the activities.</t>
  </si>
  <si>
    <t>6.1 COST DETAILS</t>
  </si>
  <si>
    <t>Total Audit Duration (Man/day)</t>
  </si>
  <si>
    <t xml:space="preserve"> -</t>
  </si>
  <si>
    <t xml:space="preserve"> -- In case of overdue of fee payments of the service received from Brilliant Certification, a direct legal prosecution for the collection of the claims from the service recipient (i.e. from the customer who signs this contract) is in the sole right of Brilliant Certification even without a prior notice is sent to the debtor customer company. 
 -- The information about the client will not be disclosed to a third party without the written consent of the client. Where the BRILLIANT is required by AB or law to release confidential information to a third party, the client, unless regulated by law, be notified in advance of the information provided. In addition to the information about the client from sources other than the client (e.g. complainant, regulators) will be treated as confidential, consistent with BRILLIANT’s confidentiality policy)</t>
  </si>
  <si>
    <t>Create ATJIF-01</t>
  </si>
  <si>
    <t>AUDIT TEAM JUSTIFICATION AND INSTRUCTION FORM.</t>
  </si>
  <si>
    <t>P2F01/L3</t>
  </si>
  <si>
    <r>
      <t xml:space="preserve"> </t>
    </r>
    <r>
      <rPr>
        <sz val="11"/>
        <color theme="1"/>
        <rFont val="Calibri"/>
        <family val="2"/>
        <scheme val="minor"/>
      </rPr>
      <t>Page 1/2</t>
    </r>
  </si>
  <si>
    <r>
      <t xml:space="preserve"> </t>
    </r>
    <r>
      <rPr>
        <sz val="11"/>
        <color theme="1"/>
        <rFont val="Calibri"/>
        <family val="2"/>
        <scheme val="minor"/>
      </rPr>
      <t>Page 2/2</t>
    </r>
  </si>
  <si>
    <t xml:space="preserve"> -- On site audit duration should be stated in man hours giving the time at the site conducting an audit. Allowance should be made to deduct time where audit teams are used and both auditors are present e.g. at the opening and closing meetings. Those personnel not ‘auditing independently’ should not be included within the total time calculation e.g.: Witness auditor, Trainee auditor, and Technical expert.</t>
  </si>
  <si>
    <t>Note*: This worksheet has designed for Stage I and Pre-assessment audit only!</t>
  </si>
  <si>
    <t>This information is listed below, if changes may be to re-assess the duration and the cost of ‎the audit.‎.</t>
  </si>
  <si>
    <t>4. PERSONNEL WILL BE INVOLVED IN THE AUDIT</t>
  </si>
  <si>
    <t>1. GENERAL INFORMATION</t>
  </si>
  <si>
    <t>Name</t>
  </si>
  <si>
    <t>Audit Duration (DY)</t>
  </si>
  <si>
    <t>Manu. Site 'Full Address'</t>
  </si>
  <si>
    <t>Audit Start Date</t>
  </si>
  <si>
    <t>Audit End Date</t>
  </si>
  <si>
    <t>Signature</t>
  </si>
  <si>
    <t xml:space="preserve">Additional Notes:  
</t>
  </si>
  <si>
    <t>Stage I</t>
  </si>
  <si>
    <t>IAF Code</t>
  </si>
  <si>
    <t>2. TECHNICAL DATA</t>
  </si>
  <si>
    <r>
      <rPr>
        <b/>
        <sz val="11"/>
        <color rgb="FFFF0000"/>
        <rFont val="Wingdings 3"/>
        <family val="1"/>
        <charset val="2"/>
      </rPr>
      <t></t>
    </r>
    <r>
      <rPr>
        <b/>
        <sz val="11"/>
        <color theme="1"/>
        <rFont val="Calibri"/>
        <family val="2"/>
        <scheme val="minor"/>
      </rPr>
      <t>This Section will be completed by the audit client</t>
    </r>
    <r>
      <rPr>
        <sz val="11"/>
        <color theme="1"/>
        <rFont val="Calibri"/>
        <family val="2"/>
        <scheme val="minor"/>
      </rPr>
      <t xml:space="preserve">
</t>
    </r>
    <r>
      <rPr>
        <sz val="11"/>
        <color rgb="FFFF0000"/>
        <rFont val="Wingdings 3"/>
        <family val="1"/>
        <charset val="2"/>
      </rPr>
      <t></t>
    </r>
    <r>
      <rPr>
        <sz val="11"/>
        <color theme="1"/>
        <rFont val="Calibri"/>
        <family val="2"/>
        <scheme val="minor"/>
      </rPr>
      <t>It’s consider your e-signature, your acceptance on the information which mentioned above.</t>
    </r>
  </si>
  <si>
    <t>Risk/Complexity Factor</t>
  </si>
  <si>
    <t>3. FOR INFORMATION</t>
  </si>
  <si>
    <t xml:space="preserve"> -- It is recognized that the audit of a site against the requirements of the Standard will involve both time spent within the site and time spent reviewing records and procedures within an office.
 -- Duration of audit should be stated in man hours giving the total time (man hours) that has been spent in the site. This should be part of the site audit time and not additional to it.
 -- Justification shall be given on the audit report where either the total audit duration or time spent within the site varies from the calculated values according to this procedure.
 -- Audit time shall be calculated in man hours. A typical audit day shall be 8 hours (not including lunch breaks).</t>
  </si>
  <si>
    <r>
      <rPr>
        <b/>
        <sz val="9"/>
        <color theme="1"/>
        <rFont val="Calibri"/>
        <family val="2"/>
        <scheme val="minor"/>
      </rPr>
      <t>Audit Duration (DY)</t>
    </r>
    <r>
      <rPr>
        <b/>
        <sz val="8"/>
        <color theme="1"/>
        <rFont val="Calibri"/>
        <family val="2"/>
        <scheme val="minor"/>
      </rPr>
      <t xml:space="preserve"> - based on the previous data</t>
    </r>
  </si>
  <si>
    <r>
      <rPr>
        <b/>
        <sz val="9"/>
        <color theme="1"/>
        <rFont val="Calibri"/>
        <family val="2"/>
        <scheme val="minor"/>
      </rPr>
      <t xml:space="preserve">Audit Duration (DY) </t>
    </r>
    <r>
      <rPr>
        <b/>
        <sz val="8"/>
        <color theme="1"/>
        <rFont val="Calibri"/>
        <family val="2"/>
        <scheme val="minor"/>
      </rPr>
      <t>- based on the current data</t>
    </r>
  </si>
  <si>
    <t>Stage II</t>
  </si>
  <si>
    <t>Additional Notes:</t>
  </si>
  <si>
    <t>Create CRMR-INT</t>
  </si>
  <si>
    <t>P5F01/L3</t>
  </si>
  <si>
    <r>
      <t xml:space="preserve">Checklist for Rev. of MS Reports. </t>
    </r>
    <r>
      <rPr>
        <sz val="11"/>
        <color theme="1"/>
        <rFont val="Calibri"/>
        <family val="2"/>
        <scheme val="minor"/>
      </rPr>
      <t>Page 1/3</t>
    </r>
  </si>
  <si>
    <r>
      <t xml:space="preserve">Checklist for Rev. of MS Reports. </t>
    </r>
    <r>
      <rPr>
        <sz val="11"/>
        <color theme="1"/>
        <rFont val="Calibri"/>
        <family val="2"/>
        <scheme val="minor"/>
      </rPr>
      <t>Page 2/3</t>
    </r>
  </si>
  <si>
    <t>ADMINISTRATION DETAILS - Should completed by the Client Admin.</t>
  </si>
  <si>
    <t>TECHNICAL REVIEW DETAILS - Should completed by the Decesion Maker (DM).</t>
  </si>
  <si>
    <t>D03/L3 and P2F04/L3 should be available when completing this part.</t>
  </si>
  <si>
    <t>Contract</t>
  </si>
  <si>
    <t>Full audit evidences should be available when completing this part.</t>
  </si>
  <si>
    <t>CRMR.Type</t>
  </si>
  <si>
    <t>Initial</t>
  </si>
  <si>
    <t>Registered:</t>
  </si>
  <si>
    <t>DM Name</t>
  </si>
  <si>
    <t>Yasser Farouk</t>
  </si>
  <si>
    <t>EA/CT codes</t>
  </si>
  <si>
    <t>TR Name (If required)</t>
  </si>
  <si>
    <t>Sign Here/date</t>
  </si>
  <si>
    <t>Manu. Site Address (If different from above)</t>
  </si>
  <si>
    <t>Audit Standards/A.B.</t>
  </si>
  <si>
    <t xml:space="preserve">Verify the calculation of the audit duration </t>
  </si>
  <si>
    <t xml:space="preserve">Verify the systematically and independency of the audit process and the audit team </t>
  </si>
  <si>
    <t>T.N.E. / E.N.P./No. of Shift./Main Shift.</t>
  </si>
  <si>
    <t>Ensure the audit team are not undertaken audits on more than 3 consecutive occasions at the same site</t>
  </si>
  <si>
    <t>Audit Venue</t>
  </si>
  <si>
    <t>On-Site</t>
  </si>
  <si>
    <t>Check the adequacy and accuracy of the previous audit documents for AB/CB transferring processes</t>
  </si>
  <si>
    <t>NA</t>
  </si>
  <si>
    <t>Was the audit team competent? Check the technical skill codes</t>
  </si>
  <si>
    <t>Lead Auditor's Name</t>
  </si>
  <si>
    <t>Auditor's Name</t>
  </si>
  <si>
    <t xml:space="preserve">Is there evidence of opening and closing meeting being conducted for all stages? </t>
  </si>
  <si>
    <t>Real Total Audit Time</t>
  </si>
  <si>
    <t>IAF/CAT. Code</t>
  </si>
  <si>
    <t xml:space="preserve">Is the scope appropriate and conforms with G04/L2? </t>
  </si>
  <si>
    <t>Check the legal documents and statues of the client</t>
  </si>
  <si>
    <t>Is the audit plan appropriate (process approach) and has it been well followed?</t>
  </si>
  <si>
    <t>Check the accreditation status of BRILLIANT</t>
  </si>
  <si>
    <t>Is the audit report adequate, accurate and reflects the active products/processes being audited?</t>
  </si>
  <si>
    <t xml:space="preserve">Check the availability of the audit team to carried out the audit </t>
  </si>
  <si>
    <t>Is the audit report in case recertification activity included the review of previous surveillance audit reports and consider the performance of the MS over the most recent certification cycle?</t>
  </si>
  <si>
    <t>Check the interval between stage I and stage II not take more than 45 days</t>
  </si>
  <si>
    <t xml:space="preserve">Check the availability of the previous audit documents for AB/CB transferring processes </t>
  </si>
  <si>
    <t>Have appropriate applicable legal requirements and regulations been applied?</t>
  </si>
  <si>
    <t>Has receipt of the audit package(s) been acknowledged?</t>
  </si>
  <si>
    <t xml:space="preserve">Have the significant environmental aspects/occupational hazards been effectively controlled? </t>
  </si>
  <si>
    <t>Have the audit documents legible, readily identifiable, latest updated, completed and appropriately authorized by an BRILLIANT Rep. and the CLIENT Rep.?</t>
  </si>
  <si>
    <t>Have HACCP plan, OPRPs, and PRPs been effectively applied?</t>
  </si>
  <si>
    <t>Does the data of the client on the audit documents match that on “MS Questionnaire(s)”?</t>
  </si>
  <si>
    <t>Have continual Improvement of the EnMS and energy performance improvement?</t>
  </si>
  <si>
    <t>Was the visit duration of the correct length (check the calculation sheet P1F05/L3)?</t>
  </si>
  <si>
    <t>Have all the issues from the previous CAP been closed out?</t>
  </si>
  <si>
    <t>Has the audit plan &amp; programme prepared in light of the calculation sheet P1F05/L3?</t>
  </si>
  <si>
    <t xml:space="preserve">Are OFI &amp; non-conformities correctly categorized and written objectively providing all necessary details? </t>
  </si>
  <si>
    <t>Is the corrective action forms attached to the report where required?</t>
  </si>
  <si>
    <t xml:space="preserve">Are submitted corrective action records effectively addressed the root causes of non-conformities identified to prevent recurrence, within a defined time?  </t>
  </si>
  <si>
    <t xml:space="preserve">Has receipt any issue may to preclude the technical review processing?  </t>
  </si>
  <si>
    <t>Is the audit programme for the initial certification has included a two-stage initial audit, surveillance audits in the first and second years following the certification decision, and a recertification audit in the third year prior to expiration of certification?</t>
  </si>
  <si>
    <t>Client's Admin Name/Sign:</t>
  </si>
  <si>
    <t>Monika Barakat</t>
  </si>
  <si>
    <t>Date:</t>
  </si>
  <si>
    <r>
      <t xml:space="preserve">Checklist for Rev. of MS Reports. </t>
    </r>
    <r>
      <rPr>
        <sz val="11"/>
        <color theme="1"/>
        <rFont val="Calibri"/>
        <family val="2"/>
        <scheme val="minor"/>
      </rPr>
      <t>Page 3/3</t>
    </r>
  </si>
  <si>
    <t>Has the lead auditor made a positive recommendation?</t>
  </si>
  <si>
    <t xml:space="preserve">Has receipt any issue may to preclude the certification processing?  </t>
  </si>
  <si>
    <t>Certification Decision Statue</t>
  </si>
  <si>
    <t>Satisfactory, granting initial certification</t>
  </si>
  <si>
    <t>Additional Notes</t>
  </si>
  <si>
    <t>CERTIFICATION ISSUING - Should completed by the Certification Manager (CM)</t>
  </si>
  <si>
    <t>CM Name</t>
  </si>
  <si>
    <t>Ashraf Fathy Mahrous</t>
  </si>
  <si>
    <t>Sign Here</t>
  </si>
  <si>
    <t>Client Status</t>
  </si>
  <si>
    <t>Certified</t>
  </si>
  <si>
    <t>Certificate Number</t>
  </si>
  <si>
    <t>EG-QMS-</t>
  </si>
  <si>
    <t>Originally Registered</t>
  </si>
  <si>
    <t>Create CERTIFICATE</t>
  </si>
  <si>
    <t xml:space="preserve">Here in after called the company, the right to be listed in the directory of registed companies in respect of the services listed below. These servicess shall be offered by the BRILLIANT CERTIFICATION from only the address given </t>
  </si>
  <si>
    <t>above in complaince with</t>
  </si>
  <si>
    <t>ISO 9001:2015</t>
  </si>
  <si>
    <t>THE CERTIFICATE IS VALID FOR THE ABOVE SCOPE OF OPERATIONS</t>
  </si>
  <si>
    <t>Certificate Number:</t>
  </si>
  <si>
    <t xml:space="preserve">Certification Cycle Expire Date: </t>
  </si>
  <si>
    <t>Originally Registered:</t>
  </si>
  <si>
    <t>Certificate Latest Issue Date:</t>
  </si>
  <si>
    <t xml:space="preserve">              Certificate Valid Until:</t>
  </si>
  <si>
    <t>ISO 50001:2018</t>
  </si>
  <si>
    <t>Building complexes</t>
  </si>
  <si>
    <t>ISO 14001:2015</t>
  </si>
  <si>
    <t>OHSAS 18001:2007</t>
  </si>
  <si>
    <t>ENP</t>
  </si>
  <si>
    <t>DOF - QMS</t>
  </si>
  <si>
    <t>DOF - EMS</t>
  </si>
  <si>
    <t>L-QMS</t>
  </si>
  <si>
    <t>M-QMS</t>
  </si>
  <si>
    <t>H-QMS</t>
  </si>
  <si>
    <t>L-EHS</t>
  </si>
  <si>
    <t>M-EHS</t>
  </si>
  <si>
    <t>H-EHS</t>
  </si>
  <si>
    <t>ENP-FS</t>
  </si>
  <si>
    <t>Basic</t>
  </si>
  <si>
    <t>Add. Time</t>
  </si>
  <si>
    <t>man/day rate</t>
  </si>
  <si>
    <t>certificate fee</t>
  </si>
  <si>
    <t>pre-assessment</t>
  </si>
  <si>
    <t>special visit</t>
  </si>
  <si>
    <t>Commission</t>
  </si>
  <si>
    <t>Currency</t>
  </si>
  <si>
    <t>App</t>
  </si>
  <si>
    <t>Afghanistan</t>
  </si>
  <si>
    <t>US $</t>
  </si>
  <si>
    <t>Waived</t>
  </si>
  <si>
    <t>MS</t>
  </si>
  <si>
    <t>TD</t>
  </si>
  <si>
    <t>Albania</t>
  </si>
  <si>
    <t>Algeria</t>
  </si>
  <si>
    <t>Andorra</t>
  </si>
  <si>
    <t>Angola</t>
  </si>
  <si>
    <t>Antigua and Barbuda</t>
  </si>
  <si>
    <t>Argentina</t>
  </si>
  <si>
    <t>Armenia</t>
  </si>
  <si>
    <t>Australia</t>
  </si>
  <si>
    <t>Austria</t>
  </si>
  <si>
    <t>Azerbaijan</t>
  </si>
  <si>
    <t>Bahamas</t>
  </si>
  <si>
    <t>Bahrain</t>
  </si>
  <si>
    <t>Bangladesh</t>
  </si>
  <si>
    <t>Pre-assessment</t>
  </si>
  <si>
    <t>Barbados</t>
  </si>
  <si>
    <t>Belarus</t>
  </si>
  <si>
    <t>Re-certification</t>
  </si>
  <si>
    <t>Surveillance</t>
  </si>
  <si>
    <t>Belgium</t>
  </si>
  <si>
    <t>Satisfactory, granting recertification</t>
  </si>
  <si>
    <t>Transfer</t>
  </si>
  <si>
    <t>Belize</t>
  </si>
  <si>
    <t>Satisfactory, maintaining certification</t>
  </si>
  <si>
    <t>Scope Ext.</t>
  </si>
  <si>
    <t>Benin</t>
  </si>
  <si>
    <t>Satisfactory, granting scope extension</t>
  </si>
  <si>
    <t>Bhutan</t>
  </si>
  <si>
    <t>Reducing scope of certification</t>
  </si>
  <si>
    <t>Bolivia</t>
  </si>
  <si>
    <t>Follow progression above</t>
  </si>
  <si>
    <t>Unsatisfactory, suspending certification</t>
  </si>
  <si>
    <t>Bosnia and Herzegovina</t>
  </si>
  <si>
    <t>Unsatisfactory, withdrawing certification</t>
  </si>
  <si>
    <t>Botswana</t>
  </si>
  <si>
    <t>Unsatisfactory, certification cannot be granted</t>
  </si>
  <si>
    <t>Brazil</t>
  </si>
  <si>
    <t>Unsatisfactory, certification cannot be maintained</t>
  </si>
  <si>
    <t>Surveillance I</t>
  </si>
  <si>
    <t>Brunei Darussalam</t>
  </si>
  <si>
    <t>Stage I (RC)</t>
  </si>
  <si>
    <t>Bulgaria</t>
  </si>
  <si>
    <t xml:space="preserve">Recertification </t>
  </si>
  <si>
    <t>Burkina Faso</t>
  </si>
  <si>
    <t xml:space="preserve">Follow-Up </t>
  </si>
  <si>
    <t>Burundi</t>
  </si>
  <si>
    <t>Cabo Verde</t>
  </si>
  <si>
    <t>Cambodia</t>
  </si>
  <si>
    <t>Cameroon</t>
  </si>
  <si>
    <t>Canada</t>
  </si>
  <si>
    <t>Initial/Recert</t>
  </si>
  <si>
    <t>Central African Republic</t>
  </si>
  <si>
    <t>First/Second Surveillance</t>
  </si>
  <si>
    <t>Chad</t>
  </si>
  <si>
    <t>Special visit</t>
  </si>
  <si>
    <t>Chile</t>
  </si>
  <si>
    <t>Recertification</t>
  </si>
  <si>
    <t>China</t>
  </si>
  <si>
    <t>Special visit (Scope Ext.)</t>
  </si>
  <si>
    <t>Colombia</t>
  </si>
  <si>
    <t>Comoros</t>
  </si>
  <si>
    <t>ISO 9001:2008</t>
  </si>
  <si>
    <t>ISO 9001:2008 "Quality Management System"</t>
  </si>
  <si>
    <t>Congo</t>
  </si>
  <si>
    <t>ISO 9001:2015 "Quality Management System"</t>
  </si>
  <si>
    <t>Costa Rica</t>
  </si>
  <si>
    <t>ISO 14001:2004</t>
  </si>
  <si>
    <t>ISO 14001:2004 "Environmental Management System"</t>
  </si>
  <si>
    <t>Côte d'Ivoire</t>
  </si>
  <si>
    <t>ISO 14001:2015 "Environmental Management System"</t>
  </si>
  <si>
    <t>Croatia</t>
  </si>
  <si>
    <t>OHSAS 18001:2007 "Occupational Health and Safety"</t>
  </si>
  <si>
    <t>Cuba</t>
  </si>
  <si>
    <t>ISO 22000:2005</t>
  </si>
  <si>
    <t>ISO 22000:2005 "Food Safety Management System"</t>
  </si>
  <si>
    <t>Cyprus</t>
  </si>
  <si>
    <t>Czech Republic</t>
  </si>
  <si>
    <t>Democratic People's Republic of Korea (North Korea)</t>
  </si>
  <si>
    <t>Democratic Republic of the Cong</t>
  </si>
  <si>
    <t>Denmark</t>
  </si>
  <si>
    <t>Djibouti</t>
  </si>
  <si>
    <t>Dominica</t>
  </si>
  <si>
    <t>Dominican Republic</t>
  </si>
  <si>
    <t>Ecuador</t>
  </si>
  <si>
    <t>EGP</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</si>
  <si>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</si>
  <si>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</si>
  <si>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</si>
  <si>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</si>
  <si>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</si>
  <si>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</si>
  <si>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</si>
  <si>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</si>
  <si>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</si>
  <si>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</si>
  <si>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</si>
  <si>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</si>
  <si>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</si>
  <si>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</si>
  <si>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</si>
  <si>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</si>
  <si>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</si>
  <si>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</si>
  <si>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</si>
  <si>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</si>
  <si>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</si>
  <si>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</si>
  <si>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</si>
  <si>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</si>
  <si>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</si>
  <si>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</si>
  <si>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</si>
  <si>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</si>
  <si>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</si>
  <si>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</si>
  <si>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</si>
  <si>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</si>
  <si>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</si>
  <si>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</si>
  <si>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</si>
  <si>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Kiribati</t>
  </si>
  <si>
    <t>Kuwait</t>
  </si>
  <si>
    <t>Kyrgyzstan</t>
  </si>
  <si>
    <t>Lao People's Democratic Republic (Laos)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</si>
  <si>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</si>
  <si>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</si>
  <si>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</si>
  <si>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</si>
  <si>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</si>
  <si>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</si>
  <si>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</si>
  <si>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</si>
  <si>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</si>
  <si>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</si>
  <si>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</si>
  <si>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</si>
  <si>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</si>
  <si>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</si>
  <si>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</si>
  <si>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</si>
  <si>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</si>
  <si>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</si>
  <si>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</si>
  <si>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</si>
  <si>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</si>
  <si>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</si>
  <si>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</si>
  <si>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</si>
  <si>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</si>
  <si>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</si>
  <si>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</si>
  <si>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</si>
  <si>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</si>
  <si>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</si>
  <si>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</si>
  <si>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</si>
  <si>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</si>
  <si>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</si>
  <si>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</si>
  <si>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</si>
  <si>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</si>
  <si>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</si>
  <si>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</si>
  <si>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</si>
  <si>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</si>
  <si>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</si>
  <si>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</si>
  <si>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</si>
  <si>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</si>
  <si>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</si>
  <si>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 (South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</si>
  <si>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</si>
  <si>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</si>
  <si>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</si>
  <si>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</si>
  <si>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</si>
  <si>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</si>
  <si>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</si>
  <si>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</si>
  <si>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</si>
  <si>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</si>
  <si>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</si>
  <si>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</si>
  <si>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</si>
  <si>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</si>
  <si>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</si>
  <si>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</si>
  <si>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</si>
  <si>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</si>
  <si>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</si>
  <si>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</si>
  <si>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</si>
  <si>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</si>
  <si>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</si>
  <si>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</si>
  <si>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</si>
  <si>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</si>
  <si>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</si>
  <si>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</si>
  <si>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</si>
  <si>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</si>
  <si>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</si>
  <si>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</si>
  <si>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</si>
  <si>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</si>
  <si>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</si>
  <si>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</si>
  <si>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</si>
  <si>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</si>
  <si>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</si>
  <si>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</si>
  <si>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</si>
  <si>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</si>
  <si>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</si>
  <si>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</si>
  <si>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</si>
  <si>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</si>
  <si>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</si>
  <si>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</si>
  <si>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</si>
  <si>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t>
  </si>
  <si>
    <t>Vietnam</t>
  </si>
  <si>
    <t>Yemen</t>
  </si>
  <si>
    <t>Zambia</t>
  </si>
  <si>
    <t>Zimbabwe</t>
  </si>
  <si>
    <t>That's enough</t>
  </si>
  <si>
    <t>I HAVE A PREVIOUS RELATIONS WITH BRILLIANT.</t>
  </si>
  <si>
    <t>Justified please:</t>
  </si>
  <si>
    <t>ISO 22000:2018</t>
  </si>
  <si>
    <t>ISO 22000:2018 "Food Safety Management System"</t>
  </si>
  <si>
    <t>Statue</t>
  </si>
  <si>
    <t>Standards</t>
  </si>
  <si>
    <t>HACCP Study</t>
  </si>
  <si>
    <t>Certificated Before</t>
  </si>
  <si>
    <t>Design</t>
  </si>
  <si>
    <t>Cutomer Property</t>
  </si>
  <si>
    <t>P. Validation</t>
  </si>
  <si>
    <t>No.</t>
  </si>
  <si>
    <t>NO. NO.</t>
  </si>
  <si>
    <t>*N/A</t>
  </si>
  <si>
    <t>*Required</t>
  </si>
  <si>
    <t>C. Property</t>
  </si>
  <si>
    <t>Combined</t>
  </si>
  <si>
    <t>No. Excl.</t>
  </si>
  <si>
    <t>Integrated</t>
  </si>
  <si>
    <t>Language</t>
  </si>
  <si>
    <t>Time</t>
  </si>
  <si>
    <t>ISO 9001:2008 &amp; ISO 14001:2004</t>
  </si>
  <si>
    <t>ISO 9001:2008 &amp; ISO 22000:2005</t>
  </si>
  <si>
    <t>English</t>
  </si>
  <si>
    <t>ISO 9001:2008 &amp; OHSAS 18001:2007</t>
  </si>
  <si>
    <t>Other</t>
  </si>
  <si>
    <t>ISO 9001:2008 &amp; ISO 14001:2004 &amp; OHSAS 18001:2007</t>
  </si>
  <si>
    <t>ISO 14001:2004 &amp; OHSAS 18001:2007</t>
  </si>
  <si>
    <t>Action</t>
  </si>
  <si>
    <t>Major.TPS</t>
  </si>
  <si>
    <t>Please create a new calculation per each temporary site (ON-SITE VISIT REQUIRED)</t>
  </si>
  <si>
    <t>Minor.TPS</t>
  </si>
  <si>
    <t>Major.TVS</t>
  </si>
  <si>
    <t>Alternative methods could be consider as pt. 9.3 of IAF MD 5:2015 (Not Less than 0.5 day)</t>
  </si>
  <si>
    <t>Minor.TVS</t>
  </si>
  <si>
    <t>Temporary</t>
  </si>
  <si>
    <t>Fin</t>
  </si>
  <si>
    <t>Count</t>
  </si>
  <si>
    <t>Major</t>
  </si>
  <si>
    <t>Minor</t>
  </si>
  <si>
    <t>Ratio</t>
  </si>
  <si>
    <t>Reduction</t>
  </si>
  <si>
    <t>&lt;0:80&gt;</t>
  </si>
  <si>
    <t>&lt;80-140&gt;</t>
  </si>
  <si>
    <t>&lt;140-160&gt;</t>
  </si>
  <si>
    <t>&lt;160-180&gt;</t>
  </si>
  <si>
    <t>&lt;180-200&gt;</t>
  </si>
  <si>
    <t>EAC/CAT</t>
  </si>
  <si>
    <t>Accreditation</t>
  </si>
  <si>
    <t>AB</t>
  </si>
  <si>
    <t>OHS</t>
  </si>
  <si>
    <t>FSM</t>
  </si>
  <si>
    <t>Cat.</t>
  </si>
  <si>
    <t>technical Area-EnMS</t>
  </si>
  <si>
    <t>Main Technical Areas ISO 13485</t>
  </si>
  <si>
    <t>Technical Areas ISO 13485</t>
  </si>
  <si>
    <t>Agriculture, hunting and forestry</t>
  </si>
  <si>
    <t>Non-Accredit</t>
  </si>
  <si>
    <t>Non-Classified</t>
  </si>
  <si>
    <t>ACCREDIA</t>
  </si>
  <si>
    <t>Mining and quarrying</t>
  </si>
  <si>
    <t>Active Medical Devices (Non-Implantable)</t>
  </si>
  <si>
    <t>Non-active implants</t>
  </si>
  <si>
    <t>Manufacture of food products, beverages and tobacco</t>
  </si>
  <si>
    <t>Accredit (EGAC)</t>
  </si>
  <si>
    <t>Food</t>
  </si>
  <si>
    <t>Active Implantable Medical Devices</t>
  </si>
  <si>
    <t>Devices for wound care</t>
  </si>
  <si>
    <t>Dual AB</t>
  </si>
  <si>
    <t>Manufacture of textiles and textile products</t>
  </si>
  <si>
    <t>In Vitro Diagnostic Medical Devices (IVD)</t>
  </si>
  <si>
    <t>Non-active dental devices and accessories</t>
  </si>
  <si>
    <t>Manufacture of leather and leather products</t>
  </si>
  <si>
    <t>Sterilization Method for Medical Devices</t>
  </si>
  <si>
    <t>Non-active medical devices other than specified above</t>
  </si>
  <si>
    <t>Manufacture of wood and wood products</t>
  </si>
  <si>
    <t>Devices incorporating/utilizing specific substances/ technologies</t>
  </si>
  <si>
    <t>General active medical devices</t>
  </si>
  <si>
    <t>Manufacture of pulp, paper and paper products; publishing and printing</t>
  </si>
  <si>
    <t>Parts or services.</t>
  </si>
  <si>
    <t>Devices for imaging</t>
  </si>
  <si>
    <t>Publishing, printing and reproduction of recorded media</t>
  </si>
  <si>
    <t>Monitoring devices</t>
  </si>
  <si>
    <t>Printing and service activities related to printing</t>
  </si>
  <si>
    <t>Devices for radiation therapy and thermo therapy</t>
  </si>
  <si>
    <t>Manufacture of coke, refined petroleum products and nuclear fuel</t>
  </si>
  <si>
    <t>Nuclear</t>
  </si>
  <si>
    <t>Active (non-implantable) medical devices other than specified above</t>
  </si>
  <si>
    <t>Processing of nuclear fuel</t>
  </si>
  <si>
    <t>General active implantable medical devices</t>
  </si>
  <si>
    <t>Manufacture of chemicals, chemical products and man-made fibres</t>
  </si>
  <si>
    <t>Chemicals</t>
  </si>
  <si>
    <t>Implantable medical devices other than specified above</t>
  </si>
  <si>
    <t>Manufacture of pharmaceuticals, medicinal chemicals and botanical products</t>
  </si>
  <si>
    <t>Drugs &amp; Pharmaceuticals</t>
  </si>
  <si>
    <t>Reagents and reagent products, calibrators and control materials for: Clinical Chemistry Immunochemistry (Immunology)Haematology/Haemostasis/ Immunohematology Microbiology Infectious Immunology Infectious Immunology Histology/ CytologyGenetic Testing</t>
  </si>
  <si>
    <t>Manufacture of rubber and plastic products</t>
  </si>
  <si>
    <t>In Vitro Diagnostic Instruments and software</t>
  </si>
  <si>
    <t>Manufacture of other non-metallic mineral products</t>
  </si>
  <si>
    <t>IVD medical devices other than specified above</t>
  </si>
  <si>
    <t>Manufacture of cement, lime and plaster</t>
  </si>
  <si>
    <t>Ethylene oxide gas sterilization (EOG)</t>
  </si>
  <si>
    <t>Manufacture of basic metals and fabricated metal products</t>
  </si>
  <si>
    <t>Moist heat</t>
  </si>
  <si>
    <t>Manufacture of machinery and equipment n.e.c.</t>
  </si>
  <si>
    <t>Aseptic processing</t>
  </si>
  <si>
    <t>Manufacture of electrical and optical equipment</t>
  </si>
  <si>
    <t>Radiation sterilization (e.g. gamma, x-ray, electron beam)</t>
  </si>
  <si>
    <t>Manufacture of other transport equipment</t>
  </si>
  <si>
    <t>Sterilization method other than specified above</t>
  </si>
  <si>
    <t>Manufacture of aircraft and spacecraft</t>
  </si>
  <si>
    <t>Aerospace</t>
  </si>
  <si>
    <t>Medical devices incorporating medicinal substances</t>
  </si>
  <si>
    <t>Manufacture of transport equipment</t>
  </si>
  <si>
    <t>Medical devices utilizing tissues of animal origin</t>
  </si>
  <si>
    <t>Manufacturing n.e.c.</t>
  </si>
  <si>
    <t>Medical devices incorporating derivates of human blood</t>
  </si>
  <si>
    <t>Recycling</t>
  </si>
  <si>
    <t>Medical devices utilizing micromechanics</t>
  </si>
  <si>
    <t>Electricity, gas and water supply</t>
  </si>
  <si>
    <t>Medical devices utilizing nanomaterials</t>
  </si>
  <si>
    <t>Manufacture of gas; distribution of gaseous fuels through mains</t>
  </si>
  <si>
    <t>Gas</t>
  </si>
  <si>
    <t>Medical devices utilizing biological active coatings and/or materials or being wholly or mainly absorbed</t>
  </si>
  <si>
    <t>Steam and hot water supply</t>
  </si>
  <si>
    <t>Medical devices incorporating or utilizing specific substances/technologies/elements, other than specified above.</t>
  </si>
  <si>
    <t>Construction</t>
  </si>
  <si>
    <t>Raw materials</t>
  </si>
  <si>
    <t>Wholesale and retail trade; repair of motor vehicles, motorcycles and personal and household goods</t>
  </si>
  <si>
    <t>Components</t>
  </si>
  <si>
    <t>Hotels and restaurants</t>
  </si>
  <si>
    <t>Subassemblies</t>
  </si>
  <si>
    <t>Transport, storage and communication</t>
  </si>
  <si>
    <t>Calibration services*</t>
  </si>
  <si>
    <t>Financial intermediation, real estate, renting and business activities</t>
  </si>
  <si>
    <t>Distribution services</t>
  </si>
  <si>
    <t>Computer and related activities</t>
  </si>
  <si>
    <t>Maintenance services</t>
  </si>
  <si>
    <t>Research and development &amp; Architectural and engineering activities and related technical consultancy</t>
  </si>
  <si>
    <t>Transportation services</t>
  </si>
  <si>
    <t>Technical testing and analysis &amp; Other business activities</t>
  </si>
  <si>
    <t>Other services</t>
  </si>
  <si>
    <t>Public administration and defence; compulsory social security</t>
  </si>
  <si>
    <t>Education</t>
  </si>
  <si>
    <t>Health and social work</t>
  </si>
  <si>
    <t>Other community, social and personal service activities</t>
  </si>
  <si>
    <t>Farming of Animals</t>
  </si>
  <si>
    <t>B</t>
  </si>
  <si>
    <t>Farming of Plants</t>
  </si>
  <si>
    <t>C</t>
  </si>
  <si>
    <t>Food Manufacturing</t>
  </si>
  <si>
    <t>D</t>
  </si>
  <si>
    <t>Animal Feed Production</t>
  </si>
  <si>
    <t>E</t>
  </si>
  <si>
    <t>Catering</t>
  </si>
  <si>
    <t>F</t>
  </si>
  <si>
    <t>Distribution</t>
  </si>
  <si>
    <t>G</t>
  </si>
  <si>
    <t>Provision of Transport and Storage Services</t>
  </si>
  <si>
    <t>H</t>
  </si>
  <si>
    <t>Services</t>
  </si>
  <si>
    <t>I</t>
  </si>
  <si>
    <t>Production of Food Packaging and Packaging
Material</t>
  </si>
  <si>
    <t>J</t>
  </si>
  <si>
    <t>Equipment manufacturing</t>
  </si>
  <si>
    <t>K</t>
  </si>
  <si>
    <t>Production of (Bio) Chemicals</t>
  </si>
  <si>
    <t>Industry – light to medium</t>
  </si>
  <si>
    <t>Manufacturing facilities producing consumer intermediates or end user oriented products</t>
  </si>
  <si>
    <t>Industry – heavy</t>
  </si>
  <si>
    <t>Manufacturing facilities requiring high capitalization and consuming large quantities of raw materials and energy</t>
  </si>
  <si>
    <t>Buildings</t>
  </si>
  <si>
    <t>Facilities with standard commercial building practices</t>
  </si>
  <si>
    <t>Facilities with operations requiring
specific expertise due to the
complexity of energy sources
and uses</t>
  </si>
  <si>
    <t>Transport</t>
  </si>
  <si>
    <t>System or means for transporting
people or goods/cargo</t>
  </si>
  <si>
    <t>Mining</t>
  </si>
  <si>
    <t>Open cast, underground and
fluid extraction of raw materials
and transport</t>
  </si>
  <si>
    <t>Agriculture</t>
  </si>
  <si>
    <t>Livestock, seed or crops products</t>
  </si>
  <si>
    <t>Energy supply</t>
  </si>
  <si>
    <t>Energy generation (nuclear, CHP,
electricity, renewable, etc.) and
transport (transmission and
distribution)</t>
  </si>
  <si>
    <t>EA</t>
  </si>
  <si>
    <t>3a, 7a, 32a, 32b, 32c, 36a, 36b</t>
  </si>
  <si>
    <t>3a,32a, 29a, 36a</t>
  </si>
  <si>
    <t xml:space="preserve">24, 29, 30, 31, 32, </t>
  </si>
  <si>
    <t>Non-qualified</t>
  </si>
  <si>
    <t>Q/E/H</t>
  </si>
  <si>
    <t>X03</t>
  </si>
  <si>
    <t>Ashraf Fathy</t>
  </si>
  <si>
    <t>24, 29, 30, 31, 32, 21,</t>
  </si>
  <si>
    <t>Q+E</t>
  </si>
  <si>
    <t>X09</t>
  </si>
  <si>
    <t>Hesham Abd El-Moati</t>
  </si>
  <si>
    <t>Q+H</t>
  </si>
  <si>
    <t>X11</t>
  </si>
  <si>
    <t>Mohamed Moustafa</t>
  </si>
  <si>
    <t>24, 29, 30, 31, 32</t>
  </si>
  <si>
    <t>E+H</t>
  </si>
  <si>
    <t>X12</t>
  </si>
  <si>
    <t>Ismail Nagy</t>
  </si>
  <si>
    <t>Q+E+H</t>
  </si>
  <si>
    <t>X13</t>
  </si>
  <si>
    <t>El-Sayed Abdel-Hafeez</t>
  </si>
  <si>
    <t>24, 29, 30, 31, 32,</t>
  </si>
  <si>
    <t>X14</t>
  </si>
  <si>
    <t>Adel El-Sayed Mohamed</t>
  </si>
  <si>
    <t>X15</t>
  </si>
  <si>
    <t>Noha Bakr Mohamed</t>
  </si>
  <si>
    <t xml:space="preserve">32a, 32b, 32c, 33a, 36a, 36b,  </t>
  </si>
  <si>
    <t xml:space="preserve">32a, 29a, 36a, </t>
  </si>
  <si>
    <t>X16</t>
  </si>
  <si>
    <t>Ahmed Basyouni</t>
  </si>
  <si>
    <t>X17</t>
  </si>
  <si>
    <t>Ahmed Hussien</t>
  </si>
  <si>
    <t>X18</t>
  </si>
  <si>
    <t>Tarek Salah El-Dine</t>
  </si>
  <si>
    <t>X19</t>
  </si>
  <si>
    <t xml:space="preserve">Ahmed Mohamed Abdel-Khalek </t>
  </si>
  <si>
    <t>34a, 35a, 37a</t>
  </si>
  <si>
    <t>X20</t>
  </si>
  <si>
    <t>Mohamed Ayman</t>
  </si>
  <si>
    <t>34a</t>
  </si>
  <si>
    <t>X21</t>
  </si>
  <si>
    <t>Mahmoud Foaad</t>
  </si>
  <si>
    <t>X22</t>
  </si>
  <si>
    <t>Henidk mohamed</t>
  </si>
  <si>
    <t>X23</t>
  </si>
  <si>
    <t>X24</t>
  </si>
  <si>
    <t>X25</t>
  </si>
  <si>
    <t>X26</t>
  </si>
  <si>
    <t>X27</t>
  </si>
  <si>
    <t>X28</t>
  </si>
  <si>
    <t>X29</t>
  </si>
  <si>
    <t>X30</t>
  </si>
  <si>
    <t>X31</t>
  </si>
  <si>
    <t>Red</t>
  </si>
  <si>
    <t>G9</t>
  </si>
  <si>
    <t>NO. of certificate</t>
  </si>
  <si>
    <t>QMS 2015</t>
  </si>
  <si>
    <t>EMS 2015</t>
  </si>
  <si>
    <t>FSM 2005</t>
  </si>
  <si>
    <t>OHS 2007</t>
  </si>
  <si>
    <t>OHS 2018</t>
  </si>
  <si>
    <t>MDMS 2016</t>
  </si>
  <si>
    <t>EnMS 2018</t>
  </si>
  <si>
    <t>QMS 15 &amp; EMS 15</t>
  </si>
  <si>
    <t>QMS 15 &amp; OHS 07</t>
  </si>
  <si>
    <t>QMS 15 &amp; OHS 18</t>
  </si>
  <si>
    <t>QMS 15 &amp; FSM 18</t>
  </si>
  <si>
    <t>QMS 15 &amp; FSM 05</t>
  </si>
  <si>
    <t>EMS 15 &amp; OHS 07</t>
  </si>
  <si>
    <t>EMS 15 &amp; OHS 18</t>
  </si>
  <si>
    <t>QMS 15 &amp; EMS 15 &amp; OHS 07</t>
  </si>
  <si>
    <t>QMS 15 &amp; EMS 15 &amp; OHS 18</t>
  </si>
  <si>
    <t>QMS 15 &amp; EMS 15 &amp; OHS 07 &amp; FSM 05</t>
  </si>
  <si>
    <t>QMS 15 &amp; EMS 15 &amp; OHS 18 &amp; FSM 18</t>
  </si>
  <si>
    <t>QMS 15 &amp; EMS 15 &amp; OHS 18 &amp; FSM 05</t>
  </si>
  <si>
    <t>QMS 15 &amp; MDMS 16</t>
  </si>
  <si>
    <t>QMS 15 &amp; EnMS 18</t>
  </si>
  <si>
    <t>EMS 15 &amp; MDMS  16</t>
  </si>
  <si>
    <t>EMS 15 &amp; EnMS 18</t>
  </si>
  <si>
    <t>OHS 07 &amp; MDMS 16</t>
  </si>
  <si>
    <t>OHS 18 &amp; EnMS 18</t>
  </si>
  <si>
    <t>OHS 18 &amp; MDMS  16</t>
  </si>
  <si>
    <t>OHS 07 &amp; EnMS 18</t>
  </si>
  <si>
    <t>MDMS 16 &amp; EnMS 18</t>
  </si>
  <si>
    <t>QMS 15 &amp; EMS 15 &amp; OHS 07 &amp; MDMS 16</t>
  </si>
  <si>
    <t>QMS 15 &amp; EMS 15 &amp; OHS 18 &amp; MDMS 16</t>
  </si>
  <si>
    <t>QMS 15 &amp; EMS 15 &amp; OHS 07 &amp; EnMS 18</t>
  </si>
  <si>
    <t>QMS 15 &amp; EMS 15 &amp; OHS 18 &amp; EnMS 18</t>
  </si>
  <si>
    <t>QMS 15 &amp; EMS 15 &amp; OHS 07 &amp; FSM 05 &amp; MDMS 16</t>
  </si>
  <si>
    <t>QMS 15 &amp; EMS 15 &amp; OHS 18 &amp; FSM 18 &amp; MDMS 16</t>
  </si>
  <si>
    <t>QMS 15 &amp; EMS 15 &amp; OHS 18 &amp; FSM 05 &amp; MDMS 16</t>
  </si>
  <si>
    <t>QMS 15 &amp; EMS 15 &amp; OHS 07 &amp; FSM 05 &amp; EnMS 18</t>
  </si>
  <si>
    <t>QMS 15 &amp; EMS 15 &amp; OHS 18 &amp; FSM 18 &amp; EnMS 18</t>
  </si>
  <si>
    <t>QMS 15 &amp; EMS 15 &amp; OHS 18 &amp; FSM 05 &amp; EnMS 18</t>
  </si>
  <si>
    <t>QMS 15 &amp; EMS 15 &amp; OHS 07 &amp; FSM 05 &amp; MDMS 16 &amp; EnMS 18</t>
  </si>
  <si>
    <t>QMS 15 &amp; EMS 15 &amp; OHS18 &amp; FSM 18 &amp; MDMS 16 &amp; EnMS 18</t>
  </si>
  <si>
    <t>QMS 15 &amp; EMS 15 &amp; OHS18 &amp; FSM 05 &amp; MDMS 16 &amp; EnMS 18</t>
  </si>
  <si>
    <t>DOF - MDMS</t>
  </si>
  <si>
    <t>ENP - EnMS</t>
  </si>
  <si>
    <t>LIM-EHS</t>
  </si>
  <si>
    <t>Column1</t>
  </si>
  <si>
    <t>Category</t>
  </si>
  <si>
    <t>TH</t>
  </si>
  <si>
    <t>L-EnMS</t>
  </si>
  <si>
    <t>M-EnMS</t>
  </si>
  <si>
    <t>H-EnMS</t>
  </si>
  <si>
    <t>L-Surv</t>
  </si>
  <si>
    <t>L-Re-cert</t>
  </si>
  <si>
    <t>M-Surv</t>
  </si>
  <si>
    <t>M-Re-cert</t>
  </si>
  <si>
    <t>H-Surv</t>
  </si>
  <si>
    <t>H-Re-cert</t>
  </si>
  <si>
    <t>Special Visit</t>
  </si>
  <si>
    <t>ISO Transfer@Surv. I</t>
  </si>
  <si>
    <t>ISO 45001:2018</t>
  </si>
  <si>
    <t>ISO 45001:2018 "Occupational health and safety management systems"</t>
  </si>
  <si>
    <t>ISO Transfer@Surv. II</t>
  </si>
  <si>
    <t>ISO 13485:2016</t>
  </si>
  <si>
    <t>ISO 13485:2016 "Medical Devices Management System"</t>
  </si>
  <si>
    <t>ISO 50001:2018 "Energy Management System"</t>
  </si>
  <si>
    <t>COVID-19 Health Procurement</t>
  </si>
  <si>
    <t>Non-active
Medical
Devices, Parts or services</t>
  </si>
  <si>
    <t xml:space="preserve">3a, 3b, 6a, 12c, 12d, 30a, 35a, 37a, </t>
  </si>
  <si>
    <t>CI, CII, CIII, CIV, Cat.I, Cat.E, AI, BI</t>
  </si>
  <si>
    <t>19a, 32a</t>
  </si>
  <si>
    <t>31, 32</t>
  </si>
  <si>
    <t xml:space="preserve">1a, 3a, 3b, 6a, 12a, 12b 12d, 12g, 12e, 13a, 23a, 29a, 7a, 30a, 35e, 37b, 12h, 12c,  </t>
  </si>
  <si>
    <t>3a, 3b, 12d, 13a, 30a,  6a, 29a, 35a, 37a, 12e, 12b, 12c</t>
  </si>
  <si>
    <t>21, 24, 29, 30, 31, 32</t>
  </si>
  <si>
    <t>Active Medical
Devices
(NonImplantable), Parts or services</t>
  </si>
  <si>
    <t xml:space="preserve">2b, 3a, 5a, 5b, 10a, 10b 12f, 4a, 4b, 13a, 15a,15b, 16a, 16b, 18a, 12a, 12b, 12d, 29a, 14a, 10a, 10b, 34a, 34b </t>
  </si>
  <si>
    <t>3a, 29a, 35a, 37a, 12e, 12b, 12c, 30a, 34a</t>
  </si>
  <si>
    <t>CI, CII, CIII, Cat.E, Cat.k, AI, BI, DI, FII, GI, GII</t>
  </si>
  <si>
    <t xml:space="preserve">14a, 14b, 16a, 17b, 17c, 17d, 28b, </t>
  </si>
  <si>
    <t>2, 3, 4, 6, 15, 18,20, 22, 25, 27, 28, 29, 30, 31, 32</t>
  </si>
  <si>
    <t>19a, 15a,  15b, 17a, 19b, 4a, 4b, 29a, 22a, 28b, 31g</t>
  </si>
  <si>
    <t>19a, 17b, 17c, 17d, 15a, 15b, 4a, 4b, 28b, 31a</t>
  </si>
  <si>
    <t>15, 20, 28, 29, 30, 31, 32, 21, 24, 3, 12, 13, 18, 22, 23, 25, 27</t>
  </si>
  <si>
    <t>Industry (Light- Medium), Building, Transport</t>
  </si>
  <si>
    <t>Industry (Light- Medium), Industry Heavy, Buildings, Transport</t>
  </si>
  <si>
    <t>6, 12, 13, 15, 18, 20, 21, 22, 23, 24, 25, 27, 28,  29, 30, 31, 32</t>
  </si>
  <si>
    <t>1a, 4e, 3a, 29a, 30a</t>
  </si>
  <si>
    <t>3a, 30a</t>
  </si>
  <si>
    <t>5a, 5b, 29a, 34a, 35f, 35e, 37a, 37b</t>
  </si>
  <si>
    <t>29, 31, 32</t>
  </si>
  <si>
    <t xml:space="preserve">Buildings (Complex), Energy Supply </t>
  </si>
  <si>
    <t>Non-active
Medical
Devices, Active
Implantable
Medical
Devices, In Vitro
Diagnostic
Medical
Devices
(IVD)</t>
  </si>
  <si>
    <t>29a,35f</t>
  </si>
  <si>
    <t>Industry (Heavy), Energy Supply</t>
  </si>
  <si>
    <t>3, 7, 32, 36, Non-active
Medical
Devices, Parts or services</t>
  </si>
  <si>
    <t>1, 3, 6, 12, 23, 30,  35, 37, Cat.C, Cat.I, Cat.E, Cat.A, Cat.B, Agriculture</t>
  </si>
  <si>
    <t>2,3, 4, 5, 12, 13, 14, 16,  15, 18, 29, 10, 34, Mining</t>
  </si>
  <si>
    <t>2, 7, 10, 14, 16, 17, 18, 19, 20, 22, 28, 29, Active Medical
Devices
(NonImplantable), Parts or services, Mining</t>
  </si>
  <si>
    <t>32, 33, 36, Mining</t>
  </si>
  <si>
    <t xml:space="preserve">4, 15, 17, 19, 29, 22, 28, 31, Active Medical
Devices
(NonImplantable), Parts or services, Industry (Light- Medium),Building, Transport </t>
  </si>
  <si>
    <t>4, 12, 29, 20, 31, Industry (Light- Medium), Industry Heavy, Buildings, Transport</t>
  </si>
  <si>
    <t>1, 3, 29, 30, Agriculture</t>
  </si>
  <si>
    <t xml:space="preserve">5, 29, 34, 35,37, Non-active
Medical
Devices, Active
Implantable
Medical
Devices, In Vitro
Diagnostic
Medical
Devices
(IVD), Buildings (Complex), Energy Supply </t>
  </si>
  <si>
    <t xml:space="preserve">29, 35, Non-active
Medical
Devices, Active
Implantable
Medical
Devices, In Vitro
Diagnostic
Medical
Devices
(IVD), Buildings (Complex), Energy Supply </t>
  </si>
  <si>
    <t>Audit Scope  /Boundaries</t>
  </si>
  <si>
    <t xml:space="preserve">1a, 3a, 3b, 23a, 6a, 12e, 12g, 12a, 12b, 30a 35e, 37b, </t>
  </si>
  <si>
    <t xml:space="preserve">19a, 19b, 33a </t>
  </si>
  <si>
    <t>33, 19</t>
  </si>
  <si>
    <t>CII, CIV, Cat.I, Cat.k, DI, FII, GI, GII</t>
  </si>
  <si>
    <t>1, 3, 6, 13, 23, 29, 7, 35, 37, 12, Cat.I, Cat.k, Cat.D, Cat.F, Cat.G, Active Medical
Devices
(NonImplantable), Parts or services, Agriculture</t>
  </si>
  <si>
    <t>3a, 12b, 4a, 4b, 13a, 14a, 14b, 15a, 15b, 16a,  10a, 32a, 34a</t>
  </si>
  <si>
    <t>2, 18, 20, 22, 25, 27, 28, 24, 29, 30, 31, 32, 15, 12,</t>
  </si>
  <si>
    <t>3a, 29a, 30a, 34a, 34b, 35e, 37b, 12a, 12b, 12h, 12c, 12f, 12e, 12a, 12b</t>
  </si>
  <si>
    <t xml:space="preserve">3, 29, 30, 34, 35, 37, 12, Cat. C, Cat.E, Cat.K, Cat.A, Cat.B, Cat.D, Cat.F, Cat.G </t>
  </si>
  <si>
    <t>2b, 7a, 10a, 10b, 14a, 16a, 16b, 17a, 18a, 19a, 19b, 20a, 22a, 28b, 29a</t>
  </si>
  <si>
    <t>4a, 4b, 12h, 29a, 20a, 31g</t>
  </si>
  <si>
    <t>4a, 4b, 12e, 31a</t>
  </si>
  <si>
    <t xml:space="preserve">Factors for Adjustments of Audit Time of QMS, EMS, OHSMS, FSMS, EnMS, MDMS as determined in IAF MD 5:2019 &amp; ISO/TS 22003:2013 &amp; IAF MD 22:2019 &amp; IAF MD 9:2017 &amp; ISO 50003:2014  and based on the new calculation sheet if existed, in case of any change/modification occurred since the last audit done. </t>
  </si>
  <si>
    <t>Calcuation of the Effective Number of Personnel - IAF MD 5:2019 &amp; ISO/TS 22003:2013 &amp; ISO 50003:2014 &amp; IAF MD 22:2019 &amp; IAF MD 9:2017</t>
  </si>
  <si>
    <t xml:space="preserve">Factors for Adjustments of Audit Time of QMS, EMS and OHSMS, FSMS, MDMS, EnMS as determined in IAF MD 5:2019 &amp; ISO/TS 22003:2013 &amp; IAF MD 22:2019 &amp; IAF MD 9:2017 and ISO 50003:2014 make reference to the clause no. of the paragraph.  </t>
  </si>
  <si>
    <t>Low</t>
  </si>
  <si>
    <t>CRP V.10.1 - 5 Apr. 2022</t>
  </si>
  <si>
    <t>CSC-Q0-2022</t>
  </si>
  <si>
    <t>29a</t>
  </si>
  <si>
    <t>Accredit</t>
  </si>
  <si>
    <t>for Initializing Cert</t>
  </si>
  <si>
    <t>AI</t>
  </si>
  <si>
    <t>AII</t>
  </si>
  <si>
    <t>BI</t>
  </si>
  <si>
    <t>BII</t>
  </si>
  <si>
    <t>BIII</t>
  </si>
  <si>
    <t>CO</t>
  </si>
  <si>
    <t>CI</t>
  </si>
  <si>
    <t>CII</t>
  </si>
  <si>
    <t>CIII</t>
  </si>
  <si>
    <t>CIV</t>
  </si>
  <si>
    <t>FI</t>
  </si>
  <si>
    <t>FII</t>
  </si>
  <si>
    <t>Low temperature steam and formaldehyde sterilization</t>
  </si>
  <si>
    <t>Thermic sterilization with dry heat</t>
  </si>
  <si>
    <t>CRP V.10.2 - 10 Dec.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</si>
</sst>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0.0"/>
    <numFmt numFmtId="165" formatCode="0.0%"/>
    <numFmt numFmtId="166" formatCode="[$-409]mmmmm\-yy;@"/>
    <numFmt numFmtId="167" formatCode="#,##0.0"/>
    <numFmt numFmtId="168" formatCode="[$-409]d\-mmm\-yyyy;@"/>
    <numFmt numFmtId="169" formatCode="[$-409]d\-mmm\-yy;@"/>
    <numFmt numFmtId="170" formatCode="[$-409]dd\-mmm\-yy;@"/>
    <numFmt numFmtId="171" formatCode="0.0;[Red]0.0"/>
    <numFmt numFmtId="172" formatCode="#,##0.0;[Red]#,##0.0"/>
    <numFmt numFmtId="173" formatCode="0.0000"/>
    <numFmt numFmtId="174" formatCode="0.00000"/>
    <numFmt numFmtId="175" formatCode="0.000"/>
  </numFmts>
  <fonts count="60">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FA7D00"/>
      <name val="Calibri"/>
      <family val="2"/>
      <scheme val="minor"/>
    </font>
    <font>
      <sz val="8"/>
      <color theme="1"/>
      <name val="Calibri"/>
      <family val="2"/>
      <scheme val="minor"/>
    </font>
    <font>
      <b/>
      <sz val="11"/>
      <color rgb="FFFFC000"/>
      <name val="Calibri"/>
      <family val="2"/>
      <scheme val="minor"/>
    </font>
    <font>
      <b/>
      <sz val="9"/>
      <color theme="0"/>
      <name val="Calibri"/>
      <family val="2"/>
      <scheme val="minor"/>
    </font>
    <font>
      <sz val="9"/>
      <color theme="1"/>
      <name val="Calibri"/>
      <family val="2"/>
      <scheme val="minor"/>
    </font>
    <font>
      <sz val="9"/>
      <color indexed="81"/>
      <name val="Tahoma"/>
      <family val="2"/>
    </font>
    <font>
      <b/>
      <sz val="8"/>
      <color theme="1"/>
      <name val="Calibri"/>
      <family val="2"/>
      <scheme val="minor"/>
    </font>
    <font>
      <b/>
      <sz val="13"/>
      <color theme="3"/>
      <name val="Calibri"/>
      <family val="2"/>
      <scheme val="minor"/>
    </font>
    <font>
      <b/>
      <sz val="13"/>
      <color theme="3"/>
      <name val="Wingdings 2"/>
      <family val="1"/>
      <charset val="2"/>
    </font>
    <font>
      <b/>
      <sz val="9"/>
      <color theme="1"/>
      <name val="Calibri"/>
      <family val="2"/>
      <scheme val="minor"/>
    </font>
    <font>
      <b/>
      <sz val="11"/>
      <color rgb="FF3F3F3F"/>
      <name val="Calibri"/>
      <family val="2"/>
      <scheme val="minor"/>
    </font>
    <font>
      <b/>
      <sz val="10"/>
      <color theme="1"/>
      <name val="Calibri"/>
      <family val="2"/>
      <scheme val="minor"/>
    </font>
    <font>
      <b/>
      <sz val="11"/>
      <color theme="5" tint="-0.499984740745262"/>
      <name val="Calibri"/>
      <family val="2"/>
      <scheme val="minor"/>
    </font>
    <font>
      <b/>
      <sz val="14"/>
      <color theme="1"/>
      <name val="Calibri"/>
      <family val="2"/>
      <scheme val="minor"/>
    </font>
    <font>
      <b/>
      <sz val="9"/>
      <color indexed="81"/>
      <name val="Tahoma"/>
      <family val="2"/>
    </font>
    <font>
      <sz val="10"/>
      <name val="Segoe UI"/>
      <family val="2"/>
    </font>
    <font>
      <sz val="48"/>
      <color rgb="FF0B744D"/>
      <name val="Calibri"/>
      <family val="2"/>
      <scheme val="minor"/>
    </font>
    <font>
      <sz val="48"/>
      <color rgb="FF0B744D"/>
      <name val="Segoe UI Light"/>
      <family val="2"/>
    </font>
    <font>
      <b/>
      <sz val="48"/>
      <color theme="3" tint="-0.499984740745262"/>
      <name val="Segoe UI Light"/>
      <family val="2"/>
    </font>
    <font>
      <b/>
      <sz val="11"/>
      <color theme="3" tint="-0.499984740745262"/>
      <name val="Calibri"/>
      <family val="2"/>
      <scheme val="minor"/>
    </font>
    <font>
      <sz val="10"/>
      <color theme="1"/>
      <name val="Calibri"/>
      <family val="2"/>
      <scheme val="minor"/>
    </font>
    <font>
      <b/>
      <u/>
      <sz val="11"/>
      <color theme="1"/>
      <name val="Calibri"/>
      <family val="2"/>
      <scheme val="minor"/>
    </font>
    <font>
      <b/>
      <u/>
      <sz val="11"/>
      <color theme="0"/>
      <name val="Calibri"/>
      <family val="2"/>
      <scheme val="minor"/>
    </font>
    <font>
      <b/>
      <u/>
      <sz val="11"/>
      <color rgb="FFFFC000"/>
      <name val="Calibri"/>
      <family val="2"/>
      <scheme val="minor"/>
    </font>
    <font>
      <b/>
      <u/>
      <sz val="10"/>
      <color theme="1"/>
      <name val="Calibri"/>
      <family val="2"/>
      <scheme val="minor"/>
    </font>
    <font>
      <u/>
      <sz val="11"/>
      <color theme="1"/>
      <name val="Calibri"/>
      <family val="2"/>
      <scheme val="minor"/>
    </font>
    <font>
      <u/>
      <sz val="11"/>
      <color theme="10"/>
      <name val="Calibri"/>
      <family val="2"/>
      <scheme val="minor"/>
    </font>
    <font>
      <sz val="11"/>
      <color rgb="FFFFC000"/>
      <name val="Calibri"/>
      <family val="2"/>
      <scheme val="minor"/>
    </font>
    <font>
      <b/>
      <u/>
      <sz val="14"/>
      <color theme="0"/>
      <name val="Calibri"/>
      <family val="2"/>
      <scheme val="minor"/>
    </font>
    <font>
      <b/>
      <u/>
      <sz val="12"/>
      <color theme="0"/>
      <name val="Calibri"/>
      <family val="2"/>
      <scheme val="minor"/>
    </font>
    <font>
      <sz val="11"/>
      <color rgb="FFFF0000"/>
      <name val="Wingdings 3"/>
      <family val="1"/>
      <charset val="2"/>
    </font>
    <font>
      <b/>
      <sz val="11"/>
      <color rgb="FFFF0000"/>
      <name val="Wingdings 3"/>
      <family val="1"/>
      <charset val="2"/>
    </font>
    <font>
      <sz val="11"/>
      <color theme="1"/>
      <name val="Calibri"/>
      <family val="1"/>
      <charset val="2"/>
      <scheme val="minor"/>
    </font>
    <font>
      <b/>
      <sz val="11"/>
      <color theme="1"/>
      <name val="Calibri"/>
      <family val="1"/>
      <charset val="2"/>
      <scheme val="minor"/>
    </font>
    <font>
      <sz val="9"/>
      <color theme="0"/>
      <name val="Calibri"/>
      <family val="2"/>
      <scheme val="minor"/>
    </font>
    <font>
      <b/>
      <u/>
      <sz val="9"/>
      <color theme="1"/>
      <name val="Calibri"/>
      <family val="2"/>
      <scheme val="minor"/>
    </font>
    <font>
      <b/>
      <sz val="9"/>
      <color rgb="FFFF0000"/>
      <name val="Calibri"/>
      <family val="2"/>
      <scheme val="minor"/>
    </font>
    <font>
      <b/>
      <sz val="11"/>
      <color rgb="FFFFFF00"/>
      <name val="Calibri"/>
      <family val="2"/>
      <scheme val="minor"/>
    </font>
    <font>
      <b/>
      <sz val="11"/>
      <color rgb="FFFF0000"/>
      <name val="Calibri"/>
      <family val="2"/>
      <scheme val="minor"/>
    </font>
    <font>
      <sz val="11"/>
      <color rgb="FF0070C0"/>
      <name val="Calibri"/>
      <family val="2"/>
      <scheme val="minor"/>
    </font>
    <font>
      <sz val="11"/>
      <color rgb="FFFF0000"/>
      <name val="Calibri"/>
      <family val="2"/>
      <scheme val="minor"/>
    </font>
    <font>
      <b/>
      <sz val="10"/>
      <color rgb="FF00B0F0"/>
      <name val="Calibri"/>
      <family val="2"/>
      <scheme val="minor"/>
    </font>
    <font>
      <b/>
      <sz val="18"/>
      <color theme="1"/>
      <name val="Calibri"/>
      <family val="2"/>
      <scheme val="minor"/>
    </font>
    <font>
      <b/>
      <sz val="36"/>
      <color theme="1"/>
      <name val="Calibri"/>
      <family val="2"/>
      <scheme val="minor"/>
    </font>
    <font>
      <b/>
      <sz val="7"/>
      <color theme="1"/>
      <name val="Calibri"/>
      <family val="2"/>
      <scheme val="minor"/>
    </font>
    <font>
      <sz val="7"/>
      <color theme="1"/>
      <name val="Calibri"/>
      <family val="2"/>
      <scheme val="minor"/>
    </font>
    <font>
      <b/>
      <sz val="11"/>
      <color rgb="FFFF0000"/>
      <name val="Times New Roman"/>
      <family val="1"/>
    </font>
    <font>
      <b/>
      <u/>
      <sz val="7"/>
      <color theme="1"/>
      <name val="Calibri"/>
      <family val="2"/>
      <scheme val="minor"/>
    </font>
    <font>
      <b/>
      <sz val="8"/>
      <color rgb="FF0070C0"/>
      <name val="Calibri"/>
      <family val="2"/>
      <scheme val="minor"/>
    </font>
    <font>
      <b/>
      <sz val="24"/>
      <color theme="1"/>
      <name val="Calibri"/>
      <family val="2"/>
      <scheme val="minor"/>
    </font>
    <font>
      <b/>
      <sz val="11"/>
      <name val="Calibri"/>
      <family val="2"/>
      <scheme val="minor"/>
    </font>
    <font>
      <sz val="10"/>
      <color theme="0"/>
      <name val="Calibri"/>
      <family val="2"/>
      <scheme val="minor"/>
    </font>
    <font>
      <b/>
      <sz val="10"/>
      <color theme="0"/>
      <name val="Calibri"/>
      <family val="2"/>
      <scheme val="minor"/>
    </font>
    <font>
      <sz val="10"/>
      <color theme="0"/>
      <name val="Cambria"/>
      <family val="1"/>
    </font>
  </fonts>
  <fills count="20">
    <fill>
      <patternFill patternType="none"/>
    </fill>
    <fill>
      <patternFill patternType="gray125"/>
    </fill>
    <fill>
      <patternFill patternType="solid">
        <fgColor rgb="FFA5A5A5"/>
      </patternFill>
    </fill>
    <fill>
      <patternFill patternType="solid">
        <fgColor theme="4"/>
      </patternFill>
    </fill>
    <fill>
      <patternFill patternType="solid">
        <fgColor theme="0" tint="-4.9989318521683403E-2"/>
        <bgColor indexed="64"/>
      </patternFill>
    </fill>
    <fill>
      <gradientFill degree="180">
        <stop position="0">
          <color theme="0"/>
        </stop>
        <stop position="1">
          <color theme="4"/>
        </stop>
      </gradientFill>
    </fill>
    <fill>
      <patternFill patternType="solid">
        <fgColor rgb="FFF2F2F2"/>
      </patternFill>
    </fill>
    <fill>
      <patternFill patternType="solid">
        <fgColor theme="4" tint="0.59999389629810485"/>
        <bgColor indexed="65"/>
      </patternFill>
    </fill>
    <fill>
      <patternFill patternType="solid">
        <fgColor theme="4" tint="0.39997558519241921"/>
        <bgColor indexed="65"/>
      </patternFill>
    </fill>
    <fill>
      <patternFill patternType="solid">
        <fgColor theme="3" tint="0.79998168889431442"/>
        <bgColor indexed="64"/>
      </patternFill>
    </fill>
    <fill>
      <patternFill patternType="solid">
        <fgColor theme="0" tint="-0.249977111117893"/>
        <bgColor indexed="64"/>
      </patternFill>
    </fill>
    <fill>
      <patternFill patternType="solid">
        <fgColor rgb="FF00B050"/>
        <bgColor indexed="64"/>
      </patternFill>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5"/>
      </patternFill>
    </fill>
    <fill>
      <patternFill patternType="solid">
        <fgColor rgb="FF002060"/>
        <bgColor indexed="64"/>
      </patternFill>
    </fill>
  </fills>
  <borders count="169">
    <border>
      <left/>
      <right/>
      <top/>
      <bottom/>
      <diagonal/>
    </border>
    <border>
      <left/>
      <right/>
      <top/>
      <bottom style="medium">
        <color theme="4" tint="0.3999755851924192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style="double">
        <color rgb="FF3F3F3F"/>
      </right>
      <top style="double">
        <color rgb="FF3F3F3F"/>
      </top>
      <bottom/>
      <diagonal/>
    </border>
    <border>
      <left/>
      <right style="double">
        <color rgb="FF3F3F3F"/>
      </right>
      <top/>
      <bottom style="double">
        <color rgb="FF3F3F3F"/>
      </bottom>
      <diagonal/>
    </border>
    <border>
      <left style="double">
        <color rgb="FF3F3F3F"/>
      </left>
      <right style="double">
        <color rgb="FF3F3F3F"/>
      </right>
      <top style="double">
        <color rgb="FF3F3F3F"/>
      </top>
      <bottom/>
      <diagonal/>
    </border>
    <border>
      <left style="double">
        <color rgb="FF3F3F3F"/>
      </left>
      <right style="double">
        <color rgb="FF3F3F3F"/>
      </right>
      <top/>
      <bottom style="double">
        <color rgb="FF3F3F3F"/>
      </bottom>
      <diagonal/>
    </border>
    <border>
      <left style="double">
        <color rgb="FF3F3F3F"/>
      </left>
      <right/>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rgb="FF7F7F7F"/>
      </top>
      <bottom/>
      <diagonal/>
    </border>
    <border>
      <left/>
      <right style="thin">
        <color rgb="FF7F7F7F"/>
      </right>
      <top/>
      <bottom/>
      <diagonal/>
    </border>
    <border>
      <left/>
      <right/>
      <top style="thin">
        <color rgb="FF3F3F3F"/>
      </top>
      <bottom/>
      <diagonal/>
    </border>
    <border>
      <left/>
      <right/>
      <top/>
      <bottom style="thin">
        <color rgb="FF3F3F3F"/>
      </bottom>
      <diagonal/>
    </border>
    <border>
      <left/>
      <right style="thin">
        <color rgb="FF3F3F3F"/>
      </right>
      <top style="thin">
        <color rgb="FF3F3F3F"/>
      </top>
      <bottom style="thin">
        <color rgb="FF3F3F3F"/>
      </bottom>
      <diagonal/>
    </border>
    <border>
      <left/>
      <right style="thin">
        <color rgb="FF3F3F3F"/>
      </right>
      <top/>
      <bottom style="thin">
        <color rgb="FF3F3F3F"/>
      </bottom>
      <diagonal/>
    </border>
    <border>
      <left style="thin">
        <color rgb="FF3F3F3F"/>
      </left>
      <right/>
      <top style="thin">
        <color rgb="FF3F3F3F"/>
      </top>
      <bottom/>
      <diagonal/>
    </border>
    <border>
      <left/>
      <right style="thin">
        <color rgb="FF3F3F3F"/>
      </right>
      <top style="thin">
        <color rgb="FF3F3F3F"/>
      </top>
      <bottom/>
      <diagonal/>
    </border>
    <border>
      <left style="thin">
        <color rgb="FF3F3F3F"/>
      </left>
      <right/>
      <top/>
      <bottom style="thin">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thin">
        <color rgb="FF3F3F3F"/>
      </left>
      <right/>
      <top style="thin">
        <color rgb="FF7F7F7F"/>
      </top>
      <bottom/>
      <diagonal/>
    </border>
    <border>
      <left/>
      <right style="thin">
        <color rgb="FF3F3F3F"/>
      </right>
      <top style="thin">
        <color rgb="FF7F7F7F"/>
      </top>
      <bottom/>
      <diagonal/>
    </border>
    <border>
      <left style="thin">
        <color rgb="FF3F3F3F"/>
      </left>
      <right/>
      <top/>
      <bottom/>
      <diagonal/>
    </border>
    <border>
      <left/>
      <right style="thin">
        <color rgb="FF3F3F3F"/>
      </right>
      <top/>
      <bottom/>
      <diagonal/>
    </border>
    <border>
      <left/>
      <right/>
      <top/>
      <bottom style="thick">
        <color theme="4" tint="0.499984740745262"/>
      </bottom>
      <diagonal/>
    </border>
    <border>
      <left/>
      <right style="thin">
        <color rgb="FF3F3F3F"/>
      </right>
      <top style="thin">
        <color rgb="FF7F7F7F"/>
      </top>
      <bottom style="thin">
        <color rgb="FF7F7F7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bottom style="thin">
        <color rgb="FF7F7F7F"/>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rgb="FF3F3F3F"/>
      </left>
      <right style="thin">
        <color auto="1"/>
      </right>
      <top style="thin">
        <color rgb="FF3F3F3F"/>
      </top>
      <bottom style="thin">
        <color rgb="FF3F3F3F"/>
      </bottom>
      <diagonal/>
    </border>
    <border>
      <left/>
      <right style="thin">
        <color auto="1"/>
      </right>
      <top/>
      <bottom/>
      <diagonal/>
    </border>
    <border>
      <left style="thin">
        <color rgb="FF3F3F3F"/>
      </left>
      <right style="thin">
        <color auto="1"/>
      </right>
      <top style="thin">
        <color rgb="FF3F3F3F"/>
      </top>
      <bottom/>
      <diagonal/>
    </border>
    <border>
      <left style="thin">
        <color auto="1"/>
      </left>
      <right style="thin">
        <color rgb="FF7F7F7F"/>
      </right>
      <top style="thin">
        <color rgb="FF7F7F7F"/>
      </top>
      <bottom style="thin">
        <color rgb="FF7F7F7F"/>
      </bottom>
      <diagonal/>
    </border>
    <border>
      <left style="thin">
        <color auto="1"/>
      </left>
      <right/>
      <top style="thin">
        <color rgb="FF7F7F7F"/>
      </top>
      <bottom style="thin">
        <color rgb="FF7F7F7F"/>
      </bottom>
      <diagonal/>
    </border>
    <border>
      <left style="thin">
        <color rgb="FF7F7F7F"/>
      </left>
      <right/>
      <top style="thin">
        <color rgb="FF7F7F7F"/>
      </top>
      <bottom style="thin">
        <color auto="1"/>
      </bottom>
      <diagonal/>
    </border>
    <border>
      <left style="thin">
        <color rgb="FF7F7F7F"/>
      </left>
      <right style="thin">
        <color rgb="FF7F7F7F"/>
      </right>
      <top style="thin">
        <color rgb="FF7F7F7F"/>
      </top>
      <bottom style="thin">
        <color auto="1"/>
      </bottom>
      <diagonal/>
    </border>
    <border>
      <left/>
      <right style="thin">
        <color auto="1"/>
      </right>
      <top style="thin">
        <color theme="4"/>
      </top>
      <bottom style="double">
        <color theme="4"/>
      </bottom>
      <diagonal/>
    </border>
    <border>
      <left style="thin">
        <color rgb="FF7F7F7F"/>
      </left>
      <right style="thin">
        <color auto="1"/>
      </right>
      <top style="thin">
        <color rgb="FF7F7F7F"/>
      </top>
      <bottom style="thin">
        <color rgb="FF7F7F7F"/>
      </bottom>
      <diagonal/>
    </border>
    <border>
      <left style="thin">
        <color rgb="FF3F3F3F"/>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theme="3" tint="-0.24994659260841701"/>
      </left>
      <right style="thin">
        <color rgb="FF3F3F3F"/>
      </right>
      <top style="thick">
        <color theme="3" tint="-0.24994659260841701"/>
      </top>
      <bottom/>
      <diagonal/>
    </border>
    <border>
      <left style="thin">
        <color rgb="FF3F3F3F"/>
      </left>
      <right style="thin">
        <color rgb="FF3F3F3F"/>
      </right>
      <top style="thick">
        <color theme="3" tint="-0.24994659260841701"/>
      </top>
      <bottom/>
      <diagonal/>
    </border>
    <border>
      <left style="thin">
        <color rgb="FF3F3F3F"/>
      </left>
      <right/>
      <top style="thick">
        <color theme="3" tint="-0.24994659260841701"/>
      </top>
      <bottom/>
      <diagonal/>
    </border>
    <border>
      <left style="thin">
        <color rgb="FF3F3F3F"/>
      </left>
      <right style="thick">
        <color theme="3" tint="-0.24994659260841701"/>
      </right>
      <top style="thick">
        <color theme="3" tint="-0.24994659260841701"/>
      </top>
      <bottom/>
      <diagonal/>
    </border>
    <border>
      <left style="thick">
        <color theme="3" tint="-0.24994659260841701"/>
      </left>
      <right style="thin">
        <color rgb="FF3F3F3F"/>
      </right>
      <top/>
      <bottom/>
      <diagonal/>
    </border>
    <border>
      <left style="thick">
        <color theme="3" tint="-0.24994659260841701"/>
      </left>
      <right style="thick">
        <color theme="3" tint="-0.24994659260841701"/>
      </right>
      <top style="thick">
        <color theme="3" tint="-0.24994659260841701"/>
      </top>
      <bottom/>
      <diagonal/>
    </border>
    <border>
      <left style="thick">
        <color theme="3" tint="-0.24994659260841701"/>
      </left>
      <right style="thick">
        <color theme="3" tint="-0.24994659260841701"/>
      </right>
      <top/>
      <bottom/>
      <diagonal/>
    </border>
    <border>
      <left/>
      <right/>
      <top style="thick">
        <color theme="3" tint="-0.24994659260841701"/>
      </top>
      <bottom style="thick">
        <color theme="3" tint="-0.24994659260841701"/>
      </bottom>
      <diagonal/>
    </border>
    <border>
      <left style="thin">
        <color rgb="FF3F3F3F"/>
      </left>
      <right/>
      <top style="thick">
        <color theme="3" tint="-0.24994659260841701"/>
      </top>
      <bottom style="thick">
        <color theme="3" tint="-0.24994659260841701"/>
      </bottom>
      <diagonal/>
    </border>
    <border>
      <left style="thin">
        <color auto="1"/>
      </left>
      <right style="thin">
        <color auto="1"/>
      </right>
      <top style="thin">
        <color auto="1"/>
      </top>
      <bottom style="double">
        <color theme="4"/>
      </bottom>
      <diagonal/>
    </border>
    <border>
      <left style="thin">
        <color auto="1"/>
      </left>
      <right style="thin">
        <color auto="1"/>
      </right>
      <top style="thin">
        <color theme="4"/>
      </top>
      <bottom style="double">
        <color theme="4"/>
      </bottom>
      <diagonal/>
    </border>
    <border>
      <left style="thin">
        <color auto="1"/>
      </left>
      <right style="thin">
        <color auto="1"/>
      </right>
      <top style="thin">
        <color theme="4"/>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theme="4"/>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theme="1"/>
      </bottom>
      <diagonal/>
    </border>
    <border>
      <left style="thin">
        <color auto="1"/>
      </left>
      <right style="thin">
        <color auto="1"/>
      </right>
      <top/>
      <bottom/>
      <diagonal/>
    </border>
    <border>
      <left style="thin">
        <color rgb="FF3F3F3F"/>
      </left>
      <right style="thin">
        <color auto="1"/>
      </right>
      <top/>
      <bottom style="thin">
        <color auto="1"/>
      </bottom>
      <diagonal/>
    </border>
    <border>
      <left style="thin">
        <color rgb="FF3F3F3F"/>
      </left>
      <right style="thin">
        <color rgb="FF3F3F3F"/>
      </right>
      <top/>
      <bottom style="thin">
        <color auto="1"/>
      </bottom>
      <diagonal/>
    </border>
    <border>
      <left style="thin">
        <color rgb="FF3F3F3F"/>
      </left>
      <right style="thin">
        <color rgb="FF3F3F3F"/>
      </right>
      <top style="thin">
        <color auto="1"/>
      </top>
      <bottom style="thin">
        <color rgb="FF3F3F3F"/>
      </bottom>
      <diagonal/>
    </border>
    <border>
      <left style="thin">
        <color rgb="FF3F3F3F"/>
      </left>
      <right style="thin">
        <color rgb="FF3F3F3F"/>
      </right>
      <top style="thin">
        <color auto="1"/>
      </top>
      <bottom style="thin">
        <color auto="1"/>
      </bottom>
      <diagonal/>
    </border>
    <border>
      <left style="thin">
        <color rgb="FF3F3F3F"/>
      </left>
      <right style="thin">
        <color rgb="FF3F3F3F"/>
      </right>
      <top style="thin">
        <color auto="1"/>
      </top>
      <bottom/>
      <diagonal/>
    </border>
    <border>
      <left style="thick">
        <color rgb="FF002060"/>
      </left>
      <right style="thick">
        <color auto="1"/>
      </right>
      <top style="thick">
        <color auto="1"/>
      </top>
      <bottom style="thick">
        <color auto="1"/>
      </bottom>
      <diagonal/>
    </border>
    <border>
      <left style="thin">
        <color auto="1"/>
      </left>
      <right style="thin">
        <color rgb="FF3F3F3F"/>
      </right>
      <top style="thin">
        <color rgb="FF3F3F3F"/>
      </top>
      <bottom/>
      <diagonal/>
    </border>
    <border>
      <left style="thin">
        <color auto="1"/>
      </left>
      <right style="thin">
        <color rgb="FF3F3F3F"/>
      </right>
      <top/>
      <bottom style="thin">
        <color rgb="FF3F3F3F"/>
      </bottom>
      <diagonal/>
    </border>
    <border>
      <left/>
      <right style="thick">
        <color rgb="FF002060"/>
      </right>
      <top style="thin">
        <color auto="1"/>
      </top>
      <bottom style="thin">
        <color auto="1"/>
      </bottom>
      <diagonal/>
    </border>
    <border>
      <left/>
      <right style="thin">
        <color rgb="FF7F7F7F"/>
      </right>
      <top style="thin">
        <color rgb="FF7F7F7F"/>
      </top>
      <bottom style="thin">
        <color auto="1"/>
      </bottom>
      <diagonal/>
    </border>
    <border>
      <left/>
      <right/>
      <top style="thin">
        <color theme="4"/>
      </top>
      <bottom style="thin">
        <color auto="1"/>
      </bottom>
      <diagonal/>
    </border>
    <border>
      <left style="thin">
        <color auto="1"/>
      </left>
      <right/>
      <top/>
      <bottom style="thick">
        <color theme="3" tint="-0.24994659260841701"/>
      </bottom>
      <diagonal/>
    </border>
    <border>
      <left style="thin">
        <color auto="1"/>
      </left>
      <right/>
      <top style="thin">
        <color auto="1"/>
      </top>
      <bottom style="thick">
        <color theme="3" tint="-0.24994659260841701"/>
      </bottom>
      <diagonal/>
    </border>
    <border>
      <left/>
      <right/>
      <top style="thin">
        <color auto="1"/>
      </top>
      <bottom style="thick">
        <color theme="3" tint="-0.24994659260841701"/>
      </bottom>
      <diagonal/>
    </border>
    <border>
      <left/>
      <right style="thin">
        <color rgb="FF7F7F7F"/>
      </right>
      <top style="thin">
        <color auto="1"/>
      </top>
      <bottom style="thick">
        <color theme="3" tint="-0.24994659260841701"/>
      </bottom>
      <diagonal/>
    </border>
    <border>
      <left style="thin">
        <color rgb="FFB2B2B2"/>
      </left>
      <right style="thin">
        <color rgb="FFB2B2B2"/>
      </right>
      <top style="thin">
        <color rgb="FFB2B2B2"/>
      </top>
      <bottom style="thin">
        <color rgb="FFB2B2B2"/>
      </bottom>
      <diagonal/>
    </border>
    <border>
      <left style="double">
        <color rgb="FF3F3F3F"/>
      </left>
      <right/>
      <top style="double">
        <color rgb="FF3F3F3F"/>
      </top>
      <bottom/>
      <diagonal/>
    </border>
    <border>
      <left style="double">
        <color rgb="FF3F3F3F"/>
      </left>
      <right/>
      <top/>
      <bottom style="double">
        <color rgb="FF3F3F3F"/>
      </bottom>
      <diagonal/>
    </border>
    <border>
      <left style="thin">
        <color auto="1"/>
      </left>
      <right/>
      <top style="thin">
        <color auto="1"/>
      </top>
      <bottom style="thin">
        <color theme="1"/>
      </bottom>
      <diagonal/>
    </border>
    <border>
      <left style="thin">
        <color auto="1"/>
      </left>
      <right style="thin">
        <color auto="1"/>
      </right>
      <top style="thick">
        <color rgb="FF0070C0"/>
      </top>
      <bottom style="thin">
        <color auto="1"/>
      </bottom>
      <diagonal/>
    </border>
    <border>
      <left style="thin">
        <color auto="1"/>
      </left>
      <right/>
      <top style="thick">
        <color rgb="FF0070C0"/>
      </top>
      <bottom style="thin">
        <color auto="1"/>
      </bottom>
      <diagonal/>
    </border>
    <border>
      <left style="thick">
        <color rgb="FF0070C0"/>
      </left>
      <right style="thin">
        <color theme="1"/>
      </right>
      <top style="thin">
        <color theme="1"/>
      </top>
      <bottom style="thick">
        <color rgb="FF0070C0"/>
      </bottom>
      <diagonal/>
    </border>
    <border>
      <left style="thin">
        <color theme="1"/>
      </left>
      <right style="thin">
        <color auto="1"/>
      </right>
      <top style="thin">
        <color theme="1"/>
      </top>
      <bottom style="thick">
        <color rgb="FF0070C0"/>
      </bottom>
      <diagonal/>
    </border>
    <border>
      <left style="thin">
        <color auto="1"/>
      </left>
      <right/>
      <top/>
      <bottom style="thick">
        <color rgb="FF0070C0"/>
      </bottom>
      <diagonal/>
    </border>
    <border>
      <left style="thin">
        <color auto="1"/>
      </left>
      <right/>
      <top style="thin">
        <color theme="1"/>
      </top>
      <bottom style="thick">
        <color rgb="FF0070C0"/>
      </bottom>
      <diagonal/>
    </border>
    <border>
      <left style="thick">
        <color theme="3" tint="-0.24994659260841701"/>
      </left>
      <right/>
      <top/>
      <bottom style="thick">
        <color theme="3" tint="-0.24994659260841701"/>
      </bottom>
      <diagonal/>
    </border>
    <border>
      <left/>
      <right style="thin">
        <color rgb="FF3F3F3F"/>
      </right>
      <top/>
      <bottom style="thick">
        <color theme="3" tint="-0.24994659260841701"/>
      </bottom>
      <diagonal/>
    </border>
    <border>
      <left style="medium">
        <color indexed="64"/>
      </left>
      <right style="thick">
        <color theme="3" tint="-0.24994659260841701"/>
      </right>
      <top style="medium">
        <color indexed="64"/>
      </top>
      <bottom style="thin">
        <color rgb="FF3F3F3F"/>
      </bottom>
      <diagonal/>
    </border>
    <border>
      <left style="thick">
        <color theme="3" tint="-0.24994659260841701"/>
      </left>
      <right style="medium">
        <color indexed="64"/>
      </right>
      <top style="medium">
        <color indexed="64"/>
      </top>
      <bottom style="thin">
        <color rgb="FF3F3F3F"/>
      </bottom>
      <diagonal/>
    </border>
    <border>
      <left style="medium">
        <color indexed="64"/>
      </left>
      <right style="thick">
        <color theme="3" tint="-0.24994659260841701"/>
      </right>
      <top style="thin">
        <color rgb="FF3F3F3F"/>
      </top>
      <bottom style="thin">
        <color rgb="FF3F3F3F"/>
      </bottom>
      <diagonal/>
    </border>
    <border>
      <left style="thick">
        <color theme="3" tint="-0.24994659260841701"/>
      </left>
      <right style="medium">
        <color indexed="64"/>
      </right>
      <top style="thin">
        <color rgb="FF3F3F3F"/>
      </top>
      <bottom style="thin">
        <color rgb="FF3F3F3F"/>
      </bottom>
      <diagonal/>
    </border>
    <border>
      <left style="medium">
        <color indexed="64"/>
      </left>
      <right style="thick">
        <color theme="3" tint="-0.24994659260841701"/>
      </right>
      <top style="thin">
        <color rgb="FF3F3F3F"/>
      </top>
      <bottom style="medium">
        <color indexed="64"/>
      </bottom>
      <diagonal/>
    </border>
    <border>
      <left style="thick">
        <color theme="3" tint="-0.24994659260841701"/>
      </left>
      <right style="medium">
        <color indexed="64"/>
      </right>
      <top style="thin">
        <color rgb="FF3F3F3F"/>
      </top>
      <bottom style="medium">
        <color indexed="64"/>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style="thick">
        <color rgb="FFFF0000"/>
      </left>
      <right style="thick">
        <color rgb="FFFF0000"/>
      </right>
      <top style="thick">
        <color rgb="FFFF0000"/>
      </top>
      <bottom style="thick">
        <color rgb="FFFF0000"/>
      </bottom>
      <diagonal/>
    </border>
    <border>
      <left style="thick">
        <color rgb="FF00B0F0"/>
      </left>
      <right/>
      <top style="thick">
        <color rgb="FF00B0F0"/>
      </top>
      <bottom style="thin">
        <color auto="1"/>
      </bottom>
      <diagonal/>
    </border>
    <border>
      <left/>
      <right/>
      <top style="thick">
        <color rgb="FF00B0F0"/>
      </top>
      <bottom style="thin">
        <color auto="1"/>
      </bottom>
      <diagonal/>
    </border>
    <border>
      <left/>
      <right style="thick">
        <color rgb="FF00B0F0"/>
      </right>
      <top style="thick">
        <color rgb="FF00B0F0"/>
      </top>
      <bottom style="thin">
        <color auto="1"/>
      </bottom>
      <diagonal/>
    </border>
    <border>
      <left style="thick">
        <color rgb="FF00B0F0"/>
      </left>
      <right/>
      <top style="thin">
        <color auto="1"/>
      </top>
      <bottom style="thick">
        <color rgb="FF00B0F0"/>
      </bottom>
      <diagonal/>
    </border>
    <border>
      <left/>
      <right/>
      <top style="thin">
        <color auto="1"/>
      </top>
      <bottom style="thick">
        <color rgb="FF00B0F0"/>
      </bottom>
      <diagonal/>
    </border>
    <border>
      <left/>
      <right style="thick">
        <color rgb="FF00B0F0"/>
      </right>
      <top style="thin">
        <color auto="1"/>
      </top>
      <bottom style="thick">
        <color rgb="FF00B0F0"/>
      </bottom>
      <diagonal/>
    </border>
    <border>
      <left/>
      <right/>
      <top style="thick">
        <color theme="3" tint="-0.24994659260841701"/>
      </top>
      <bottom/>
      <diagonal/>
    </border>
    <border>
      <left style="thin">
        <color auto="1"/>
      </left>
      <right/>
      <top style="thin">
        <color auto="1"/>
      </top>
      <bottom style="thick">
        <color rgb="FF00B0F0"/>
      </bottom>
      <diagonal/>
    </border>
    <border>
      <left style="mediumDashed">
        <color theme="3" tint="-0.24994659260841701"/>
      </left>
      <right style="mediumDashed">
        <color theme="3" tint="-0.24994659260841701"/>
      </right>
      <top style="thick">
        <color theme="3" tint="-0.24994659260841701"/>
      </top>
      <bottom style="thick">
        <color theme="3" tint="-0.24994659260841701"/>
      </bottom>
      <diagonal/>
    </border>
    <border>
      <left style="mediumDashed">
        <color theme="3" tint="-0.24994659260841701"/>
      </left>
      <right style="mediumDashed">
        <color theme="3" tint="-0.24994659260841701"/>
      </right>
      <top/>
      <bottom/>
      <diagonal/>
    </border>
    <border>
      <left style="thick">
        <color rgb="FF0070C0"/>
      </left>
      <right/>
      <top style="thick">
        <color rgb="FF0070C0"/>
      </top>
      <bottom style="thin">
        <color auto="1"/>
      </bottom>
      <diagonal/>
    </border>
    <border>
      <left style="thick">
        <color rgb="FF0070C0"/>
      </left>
      <right/>
      <top style="thin">
        <color auto="1"/>
      </top>
      <bottom style="thin">
        <color auto="1"/>
      </bottom>
      <diagonal/>
    </border>
    <border>
      <left style="thin">
        <color auto="1"/>
      </left>
      <right style="thin">
        <color auto="1"/>
      </right>
      <top style="thin">
        <color auto="1"/>
      </top>
      <bottom style="thin">
        <color theme="4"/>
      </bottom>
      <diagonal/>
    </border>
    <border>
      <left style="thick">
        <color rgb="FF7030A0"/>
      </left>
      <right style="thick">
        <color rgb="FFFF0000"/>
      </right>
      <top style="thick">
        <color rgb="FF7030A0"/>
      </top>
      <bottom style="thick">
        <color rgb="FF7030A0"/>
      </bottom>
      <diagonal/>
    </border>
    <border>
      <left style="thin">
        <color auto="1"/>
      </left>
      <right/>
      <top style="thin">
        <color rgb="FF7F7F7F"/>
      </top>
      <bottom/>
      <diagonal/>
    </border>
    <border>
      <left style="thin">
        <color auto="1"/>
      </left>
      <right/>
      <top/>
      <bottom style="thin">
        <color rgb="FF7F7F7F"/>
      </bottom>
      <diagonal/>
    </border>
    <border>
      <left style="thin">
        <color auto="1"/>
      </left>
      <right style="thin">
        <color rgb="FF3F3F3F"/>
      </right>
      <top style="thin">
        <color auto="1"/>
      </top>
      <bottom style="thin">
        <color auto="1"/>
      </bottom>
      <diagonal/>
    </border>
    <border>
      <left/>
      <right/>
      <top style="thick">
        <color rgb="FF0070C0"/>
      </top>
      <bottom style="thin">
        <color auto="1"/>
      </bottom>
      <diagonal/>
    </border>
    <border>
      <left/>
      <right/>
      <top style="thin">
        <color auto="1"/>
      </top>
      <bottom style="thin">
        <color theme="1"/>
      </bottom>
      <diagonal/>
    </border>
    <border>
      <left/>
      <right/>
      <top style="thin">
        <color theme="1"/>
      </top>
      <bottom style="thick">
        <color rgb="FF0070C0"/>
      </bottom>
      <diagonal/>
    </border>
    <border>
      <left style="thick">
        <color rgb="FF00B0F0"/>
      </left>
      <right/>
      <top style="thin">
        <color auto="1"/>
      </top>
      <bottom style="thin">
        <color auto="1"/>
      </bottom>
      <diagonal/>
    </border>
    <border>
      <left/>
      <right style="thick">
        <color rgb="FF00B0F0"/>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ck">
        <color theme="3" tint="-0.24994659260841701"/>
      </right>
      <top/>
      <bottom/>
      <diagonal/>
    </border>
    <border>
      <left style="thick">
        <color rgb="FF3F3F3F"/>
      </left>
      <right style="thin">
        <color rgb="FF3F3F3F"/>
      </right>
      <top style="thick">
        <color rgb="FF3F3F3F"/>
      </top>
      <bottom/>
      <diagonal/>
    </border>
    <border>
      <left style="thin">
        <color rgb="FF3F3F3F"/>
      </left>
      <right style="thick">
        <color theme="3" tint="-0.24994659260841701"/>
      </right>
      <top style="thick">
        <color rgb="FF3F3F3F"/>
      </top>
      <bottom/>
      <diagonal/>
    </border>
    <border>
      <left/>
      <right/>
      <top style="thick">
        <color rgb="FF3F3F3F"/>
      </top>
      <bottom/>
      <diagonal/>
    </border>
    <border>
      <left style="thick">
        <color rgb="FF3F3F3F"/>
      </left>
      <right style="thin">
        <color auto="1"/>
      </right>
      <top style="thin">
        <color auto="1"/>
      </top>
      <bottom style="thin">
        <color auto="1"/>
      </bottom>
      <diagonal/>
    </border>
    <border>
      <left style="thin">
        <color auto="1"/>
      </left>
      <right style="thick">
        <color rgb="FF3F3F3F"/>
      </right>
      <top style="thin">
        <color auto="1"/>
      </top>
      <bottom style="thin">
        <color auto="1"/>
      </bottom>
      <diagonal/>
    </border>
    <border>
      <left/>
      <right style="thick">
        <color theme="3" tint="-0.24994659260841701"/>
      </right>
      <top/>
      <bottom/>
      <diagonal/>
    </border>
    <border>
      <left style="thin">
        <color auto="1"/>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right style="thin">
        <color auto="1"/>
      </right>
      <top style="thin">
        <color auto="1"/>
      </top>
      <bottom style="thick">
        <color rgb="FF00B0F0"/>
      </bottom>
      <diagonal/>
    </border>
    <border>
      <left/>
      <right/>
      <top/>
      <bottom style="double">
        <color theme="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auto="1"/>
      </left>
      <right/>
      <top/>
      <bottom style="medium">
        <color indexed="64"/>
      </bottom>
      <diagonal/>
    </border>
    <border>
      <left/>
      <right/>
      <top/>
      <bottom style="medium">
        <color indexed="64"/>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Dashed">
        <color theme="3" tint="-0.24994659260841701"/>
      </left>
      <right style="mediumDashed">
        <color theme="3" tint="-0.24994659260841701"/>
      </right>
      <top style="mediumDashed">
        <color theme="3" tint="-0.24994659260841701"/>
      </top>
      <bottom style="mediumDashed">
        <color theme="3" tint="-0.24994659260841701"/>
      </bottom>
      <diagonal/>
    </border>
    <border>
      <left style="thin">
        <color auto="1"/>
      </left>
      <right style="medium">
        <color indexed="64"/>
      </right>
      <top style="medium">
        <color indexed="64"/>
      </top>
      <bottom style="medium">
        <color indexed="64"/>
      </bottom>
      <diagonal/>
    </border>
  </borders>
  <cellStyleXfs count="14">
    <xf numFmtId="0" fontId="0" fillId="0" borderId="0"/>
    <xf numFmtId="0" fontId="2" fillId="0" borderId="1" applyNumberFormat="0" applyFill="0" applyAlignment="0" applyProtection="0"/>
    <xf numFmtId="0" fontId="3" fillId="2" borderId="2" applyNumberFormat="0" applyAlignment="0" applyProtection="0"/>
    <xf numFmtId="0" fontId="4" fillId="0" borderId="3" applyNumberFormat="0" applyFill="0" applyAlignment="0" applyProtection="0"/>
    <xf numFmtId="0" fontId="5" fillId="3" borderId="0" applyNumberFormat="0" applyBorder="0" applyAlignment="0" applyProtection="0"/>
    <xf numFmtId="0" fontId="6" fillId="6" borderId="4" applyNumberFormat="0" applyAlignment="0" applyProtection="0"/>
    <xf numFmtId="0" fontId="1" fillId="7" borderId="0" applyNumberFormat="0" applyBorder="0" applyAlignment="0" applyProtection="0"/>
    <xf numFmtId="0" fontId="5" fillId="8" borderId="0" applyNumberFormat="0" applyBorder="0" applyAlignment="0" applyProtection="0"/>
    <xf numFmtId="0" fontId="13" fillId="0" borderId="30" applyNumberFormat="0" applyFill="0" applyAlignment="0" applyProtection="0"/>
    <xf numFmtId="0" fontId="16" fillId="6" borderId="14" applyNumberFormat="0" applyAlignment="0" applyProtection="0"/>
    <xf numFmtId="0" fontId="1" fillId="0" borderId="0"/>
    <xf numFmtId="0" fontId="32" fillId="0" borderId="0" applyNumberFormat="0" applyFill="0" applyBorder="0" applyAlignment="0" applyProtection="0"/>
    <xf numFmtId="0" fontId="1" fillId="12" borderId="88" applyNumberFormat="0" applyFont="0" applyAlignment="0" applyProtection="0"/>
    <xf numFmtId="0" fontId="5" fillId="18" borderId="0" applyNumberFormat="0" applyBorder="0" applyAlignment="0" applyProtection="0"/>
  </cellStyleXfs>
  <cellXfs count="1021">
    <xf numFmtId="0" fontId="0" fillId="0" borderId="0" xfId="0"/>
    <xf numFmtId="0" fontId="0" fillId="0" borderId="0" xfId="0" applyAlignment="1">
      <alignment horizontal="center" vertical="center"/>
    </xf>
    <xf numFmtId="0" fontId="9" fillId="3" borderId="13" xfId="4" applyFont="1" applyBorder="1" applyAlignment="1">
      <alignment horizontal="center" vertical="center"/>
    </xf>
    <xf numFmtId="0" fontId="0" fillId="0" borderId="0" xfId="0" applyAlignment="1">
      <alignment wrapText="1"/>
    </xf>
    <xf numFmtId="0" fontId="4" fillId="0" borderId="0" xfId="0" applyFont="1" applyAlignment="1">
      <alignment horizontal="center" vertical="center"/>
    </xf>
    <xf numFmtId="0" fontId="4" fillId="9" borderId="20" xfId="0" applyFont="1" applyFill="1" applyBorder="1" applyAlignment="1">
      <alignment horizontal="center" vertical="center"/>
    </xf>
    <xf numFmtId="0" fontId="4" fillId="9" borderId="19" xfId="0" applyFont="1" applyFill="1" applyBorder="1" applyAlignment="1">
      <alignment horizontal="center" vertical="center"/>
    </xf>
    <xf numFmtId="0" fontId="0" fillId="0" borderId="0" xfId="0" applyAlignment="1">
      <alignment horizontal="center"/>
    </xf>
    <xf numFmtId="0" fontId="17" fillId="6" borderId="26" xfId="5" applyFont="1" applyBorder="1" applyAlignment="1">
      <alignment horizontal="center" vertical="center" wrapText="1"/>
    </xf>
    <xf numFmtId="0" fontId="0" fillId="0" borderId="36" xfId="0" applyBorder="1"/>
    <xf numFmtId="0" fontId="0" fillId="0" borderId="37" xfId="0" applyBorder="1"/>
    <xf numFmtId="0" fontId="3" fillId="3" borderId="37" xfId="4" applyFont="1" applyBorder="1" applyAlignment="1">
      <alignment horizontal="center" vertical="center"/>
    </xf>
    <xf numFmtId="0" fontId="0" fillId="0" borderId="38" xfId="0" applyBorder="1"/>
    <xf numFmtId="0" fontId="0" fillId="0" borderId="39" xfId="0" applyBorder="1"/>
    <xf numFmtId="0" fontId="3" fillId="3" borderId="39" xfId="4" applyFont="1" applyBorder="1" applyAlignment="1">
      <alignment horizontal="center" vertical="center"/>
    </xf>
    <xf numFmtId="0" fontId="3" fillId="3" borderId="0" xfId="4" applyFont="1" applyBorder="1" applyAlignment="1">
      <alignment horizontal="center" vertical="center"/>
    </xf>
    <xf numFmtId="0" fontId="1" fillId="6" borderId="4" xfId="5" applyFont="1" applyAlignment="1">
      <alignment horizontal="center" vertical="center" wrapText="1"/>
    </xf>
    <xf numFmtId="0" fontId="0" fillId="0" borderId="41" xfId="0" applyBorder="1"/>
    <xf numFmtId="0" fontId="3" fillId="3" borderId="41" xfId="4" applyFont="1" applyBorder="1" applyAlignment="1">
      <alignment horizontal="center" vertical="center"/>
    </xf>
    <xf numFmtId="0" fontId="0" fillId="0" borderId="35" xfId="0" applyBorder="1"/>
    <xf numFmtId="0" fontId="4" fillId="0" borderId="0" xfId="0" applyFont="1" applyAlignment="1">
      <alignment vertical="top"/>
    </xf>
    <xf numFmtId="0" fontId="14" fillId="10" borderId="35" xfId="8" applyFont="1" applyFill="1" applyBorder="1" applyAlignment="1" applyProtection="1">
      <alignment horizontal="center" vertical="center" wrapText="1"/>
      <protection locked="0"/>
    </xf>
    <xf numFmtId="0" fontId="1" fillId="6" borderId="4" xfId="5" applyFont="1" applyAlignment="1" applyProtection="1">
      <alignment horizontal="center" vertical="center"/>
      <protection locked="0"/>
    </xf>
    <xf numFmtId="0" fontId="1" fillId="6" borderId="44" xfId="5"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0" fillId="0" borderId="47" xfId="3" applyFont="1" applyBorder="1" applyAlignment="1" applyProtection="1">
      <alignment horizontal="center" vertical="center"/>
      <protection locked="0"/>
    </xf>
    <xf numFmtId="0" fontId="7" fillId="0" borderId="0" xfId="0" applyFont="1" applyAlignment="1" applyProtection="1">
      <alignment horizontal="center" vertical="center" wrapText="1"/>
      <protection locked="0"/>
    </xf>
    <xf numFmtId="9" fontId="0" fillId="0" borderId="14" xfId="0" applyNumberFormat="1" applyBorder="1" applyAlignment="1" applyProtection="1">
      <alignment horizontal="center" vertical="center"/>
      <protection locked="0"/>
    </xf>
    <xf numFmtId="0" fontId="0" fillId="6" borderId="4" xfId="5" applyFont="1" applyAlignment="1" applyProtection="1">
      <alignment horizontal="center" vertical="center"/>
      <protection locked="0"/>
    </xf>
    <xf numFmtId="0" fontId="21" fillId="0" borderId="0" xfId="0" applyFont="1" applyAlignment="1">
      <alignment horizontal="left" indent="2"/>
    </xf>
    <xf numFmtId="0" fontId="22" fillId="0" borderId="0" xfId="0" applyFont="1"/>
    <xf numFmtId="0" fontId="23" fillId="0" borderId="0" xfId="0" applyFont="1"/>
    <xf numFmtId="0" fontId="24" fillId="0" borderId="0" xfId="0" applyFont="1"/>
    <xf numFmtId="0" fontId="25" fillId="0" borderId="0" xfId="0" applyFont="1"/>
    <xf numFmtId="0" fontId="4" fillId="0" borderId="35" xfId="3" applyBorder="1" applyAlignment="1">
      <alignment horizontal="center" vertical="center" wrapText="1"/>
    </xf>
    <xf numFmtId="0" fontId="1" fillId="6" borderId="48" xfId="5" applyFont="1" applyBorder="1" applyAlignment="1" applyProtection="1">
      <alignment horizontal="center" vertical="center"/>
      <protection locked="0"/>
    </xf>
    <xf numFmtId="0" fontId="27" fillId="0" borderId="64" xfId="3" applyFont="1" applyBorder="1" applyAlignment="1">
      <alignment horizontal="left" vertical="center"/>
    </xf>
    <xf numFmtId="0" fontId="27" fillId="0" borderId="65" xfId="3" applyFont="1" applyBorder="1" applyAlignment="1">
      <alignment horizontal="left" vertical="center"/>
    </xf>
    <xf numFmtId="0" fontId="27" fillId="0" borderId="65" xfId="3" applyFont="1" applyBorder="1" applyAlignment="1">
      <alignment horizontal="left" vertical="center" wrapText="1"/>
    </xf>
    <xf numFmtId="0" fontId="27" fillId="0" borderId="66" xfId="3" applyFont="1" applyBorder="1" applyAlignment="1">
      <alignment horizontal="left" vertical="center" wrapText="1"/>
    </xf>
    <xf numFmtId="0" fontId="27" fillId="7" borderId="8" xfId="6" applyFont="1" applyBorder="1" applyAlignment="1">
      <alignment vertical="center" wrapText="1"/>
    </xf>
    <xf numFmtId="0" fontId="29" fillId="3" borderId="3" xfId="4" applyFont="1" applyBorder="1" applyAlignment="1">
      <alignment horizontal="left" vertical="center"/>
    </xf>
    <xf numFmtId="0" fontId="28" fillId="3" borderId="0" xfId="4" applyFont="1" applyBorder="1" applyAlignment="1">
      <alignment horizontal="center" vertical="center"/>
    </xf>
    <xf numFmtId="0" fontId="4" fillId="0" borderId="35" xfId="0" applyFont="1" applyBorder="1" applyAlignment="1">
      <alignment vertical="center"/>
    </xf>
    <xf numFmtId="0" fontId="1" fillId="0" borderId="47" xfId="3" applyFont="1" applyBorder="1" applyAlignment="1" applyProtection="1">
      <alignment horizontal="center" vertical="center" wrapText="1"/>
    </xf>
    <xf numFmtId="0" fontId="0" fillId="0" borderId="47" xfId="3" applyFont="1" applyBorder="1" applyAlignment="1" applyProtection="1">
      <alignment horizontal="center" vertical="center"/>
    </xf>
    <xf numFmtId="1" fontId="0" fillId="0" borderId="14" xfId="0" applyNumberFormat="1" applyBorder="1" applyAlignment="1">
      <alignment horizontal="center" vertical="center"/>
    </xf>
    <xf numFmtId="0" fontId="0" fillId="0" borderId="14" xfId="0" applyBorder="1" applyAlignment="1">
      <alignment horizontal="center" vertical="center"/>
    </xf>
    <xf numFmtId="0" fontId="0" fillId="0" borderId="40" xfId="0" applyBorder="1" applyAlignment="1">
      <alignment horizontal="center" vertical="center"/>
    </xf>
    <xf numFmtId="0" fontId="0" fillId="0" borderId="54" xfId="3" applyFont="1" applyBorder="1" applyAlignment="1" applyProtection="1">
      <alignment horizontal="center" vertical="center" wrapText="1"/>
      <protection locked="0"/>
    </xf>
    <xf numFmtId="0" fontId="0" fillId="0" borderId="47" xfId="3" applyFont="1" applyBorder="1" applyAlignment="1" applyProtection="1">
      <alignment horizontal="center" vertical="center" wrapText="1"/>
    </xf>
    <xf numFmtId="0" fontId="0" fillId="0" borderId="51" xfId="3" applyFont="1" applyBorder="1" applyAlignment="1" applyProtection="1">
      <alignment horizontal="center" vertical="center" wrapText="1"/>
      <protection locked="0"/>
    </xf>
    <xf numFmtId="0" fontId="4" fillId="0" borderId="70" xfId="0" applyFont="1" applyBorder="1" applyAlignment="1">
      <alignment horizontal="center" vertical="center"/>
    </xf>
    <xf numFmtId="0" fontId="27" fillId="0" borderId="35" xfId="3" applyFont="1" applyBorder="1" applyAlignment="1">
      <alignment horizontal="center" vertical="center" wrapText="1"/>
    </xf>
    <xf numFmtId="0" fontId="27" fillId="0" borderId="35" xfId="0" applyFont="1" applyBorder="1" applyAlignment="1">
      <alignment horizontal="center" vertical="center"/>
    </xf>
    <xf numFmtId="0" fontId="4" fillId="0" borderId="0" xfId="0" applyFont="1"/>
    <xf numFmtId="0" fontId="0" fillId="0" borderId="0" xfId="0" applyAlignment="1">
      <alignment vertical="top" wrapText="1"/>
    </xf>
    <xf numFmtId="0" fontId="4" fillId="0" borderId="0" xfId="0" applyFont="1" applyAlignment="1">
      <alignment wrapText="1"/>
    </xf>
    <xf numFmtId="0" fontId="0" fillId="0" borderId="53" xfId="0" applyBorder="1" applyAlignment="1">
      <alignment vertical="center" wrapText="1"/>
    </xf>
    <xf numFmtId="0" fontId="4" fillId="5" borderId="0" xfId="1" applyFont="1" applyFill="1" applyBorder="1" applyAlignment="1"/>
    <xf numFmtId="0" fontId="4" fillId="0" borderId="0" xfId="0" applyFont="1" applyAlignment="1">
      <alignment vertical="center" wrapText="1"/>
    </xf>
    <xf numFmtId="0" fontId="0" fillId="0" borderId="0" xfId="0" applyAlignment="1">
      <alignment vertical="top"/>
    </xf>
    <xf numFmtId="0" fontId="0" fillId="0" borderId="67" xfId="0" applyBorder="1" applyAlignment="1">
      <alignment vertical="top"/>
    </xf>
    <xf numFmtId="3" fontId="27" fillId="0" borderId="35" xfId="0" applyNumberFormat="1" applyFont="1" applyBorder="1" applyAlignment="1">
      <alignment horizontal="center" vertical="center"/>
    </xf>
    <xf numFmtId="3" fontId="27" fillId="0" borderId="78" xfId="0" applyNumberFormat="1" applyFont="1" applyBorder="1" applyAlignment="1">
      <alignment horizontal="center" vertical="center"/>
    </xf>
    <xf numFmtId="0" fontId="4" fillId="5" borderId="39" xfId="1" applyFont="1" applyFill="1" applyBorder="1" applyAlignment="1"/>
    <xf numFmtId="0" fontId="4" fillId="0" borderId="54" xfId="0" applyFont="1" applyBorder="1" applyAlignment="1">
      <alignment horizontal="center" vertical="center"/>
    </xf>
    <xf numFmtId="164" fontId="4" fillId="0" borderId="35" xfId="0" applyNumberFormat="1" applyFont="1" applyBorder="1" applyAlignment="1">
      <alignment horizontal="center" vertical="center" wrapText="1"/>
    </xf>
    <xf numFmtId="3" fontId="4" fillId="0" borderId="35" xfId="0" applyNumberFormat="1" applyFont="1" applyBorder="1" applyAlignment="1">
      <alignment horizontal="center" vertical="center"/>
    </xf>
    <xf numFmtId="3" fontId="4" fillId="0" borderId="35" xfId="3" applyNumberFormat="1" applyBorder="1" applyAlignment="1">
      <alignment horizontal="center" vertical="center" wrapText="1"/>
    </xf>
    <xf numFmtId="0" fontId="4" fillId="0" borderId="54" xfId="0" applyFont="1" applyBorder="1" applyAlignment="1">
      <alignment horizontal="center" vertical="center" wrapText="1"/>
    </xf>
    <xf numFmtId="0" fontId="0" fillId="0" borderId="67" xfId="0" applyBorder="1"/>
    <xf numFmtId="0" fontId="0" fillId="0" borderId="51" xfId="0" applyBorder="1"/>
    <xf numFmtId="0" fontId="10" fillId="0" borderId="0" xfId="0" applyFont="1" applyAlignment="1">
      <alignment vertical="center"/>
    </xf>
    <xf numFmtId="166" fontId="4" fillId="0" borderId="37" xfId="0" applyNumberFormat="1" applyFont="1" applyBorder="1" applyAlignment="1">
      <alignment horizontal="center" vertical="center"/>
    </xf>
    <xf numFmtId="166" fontId="4" fillId="0" borderId="0" xfId="0" applyNumberFormat="1" applyFont="1" applyAlignment="1">
      <alignment horizontal="left"/>
    </xf>
    <xf numFmtId="166" fontId="4" fillId="0" borderId="37" xfId="0" applyNumberFormat="1" applyFont="1" applyBorder="1" applyAlignment="1">
      <alignment horizontal="center"/>
    </xf>
    <xf numFmtId="0" fontId="4" fillId="0" borderId="35" xfId="3" applyBorder="1" applyAlignment="1" applyProtection="1">
      <alignment horizontal="left" vertical="center"/>
    </xf>
    <xf numFmtId="0" fontId="4" fillId="0" borderId="68" xfId="3" applyBorder="1" applyAlignment="1" applyProtection="1">
      <alignment horizontal="left" vertical="center"/>
    </xf>
    <xf numFmtId="0" fontId="1" fillId="7" borderId="8" xfId="6" applyBorder="1" applyAlignment="1" applyProtection="1">
      <alignment horizontal="center" vertical="center" wrapText="1"/>
    </xf>
    <xf numFmtId="1" fontId="33" fillId="3" borderId="47" xfId="4" applyNumberFormat="1" applyFont="1" applyBorder="1" applyAlignment="1">
      <alignment horizontal="center" vertical="center"/>
    </xf>
    <xf numFmtId="0" fontId="34" fillId="0" borderId="63" xfId="11" applyFont="1" applyBorder="1" applyAlignment="1" applyProtection="1">
      <alignment vertical="center" wrapText="1"/>
      <protection locked="0"/>
    </xf>
    <xf numFmtId="0" fontId="3" fillId="8" borderId="75" xfId="7" applyFont="1" applyBorder="1" applyAlignment="1" applyProtection="1">
      <alignment vertical="center" wrapText="1"/>
    </xf>
    <xf numFmtId="0" fontId="3" fillId="8" borderId="74" xfId="7" applyFont="1" applyBorder="1" applyAlignment="1" applyProtection="1">
      <alignment vertical="center" wrapText="1"/>
    </xf>
    <xf numFmtId="0" fontId="3" fillId="3" borderId="75" xfId="4" applyFont="1" applyBorder="1" applyAlignment="1" applyProtection="1">
      <alignment vertical="center" wrapText="1"/>
    </xf>
    <xf numFmtId="0" fontId="4" fillId="0" borderId="35" xfId="0" applyFont="1" applyBorder="1" applyAlignment="1">
      <alignment vertical="center" wrapText="1"/>
    </xf>
    <xf numFmtId="0" fontId="3" fillId="3" borderId="74" xfId="4" applyFont="1" applyBorder="1" applyAlignment="1" applyProtection="1">
      <alignment vertical="center" wrapText="1"/>
    </xf>
    <xf numFmtId="0" fontId="0" fillId="0" borderId="0" xfId="0" applyAlignment="1">
      <alignment horizontal="left" vertical="center"/>
    </xf>
    <xf numFmtId="0" fontId="4" fillId="0" borderId="66" xfId="3" applyBorder="1" applyAlignment="1" applyProtection="1">
      <alignment horizontal="left" vertical="center" wrapText="1"/>
    </xf>
    <xf numFmtId="0" fontId="4" fillId="0" borderId="35" xfId="0" applyFont="1" applyBorder="1" applyAlignment="1">
      <alignment horizontal="center" vertical="center" wrapText="1"/>
    </xf>
    <xf numFmtId="0" fontId="0" fillId="0" borderId="39" xfId="0" applyBorder="1" applyAlignment="1">
      <alignment wrapText="1"/>
    </xf>
    <xf numFmtId="0" fontId="0" fillId="0" borderId="41" xfId="0" applyBorder="1" applyAlignment="1">
      <alignment wrapText="1"/>
    </xf>
    <xf numFmtId="0" fontId="4" fillId="0" borderId="35" xfId="0" applyFont="1" applyBorder="1" applyAlignment="1">
      <alignment vertical="top" wrapText="1"/>
    </xf>
    <xf numFmtId="0" fontId="1" fillId="0" borderId="35" xfId="3" applyFont="1"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1" fontId="4" fillId="0" borderId="35" xfId="0" applyNumberFormat="1"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5" fillId="0" borderId="0" xfId="0" applyFont="1" applyProtection="1">
      <protection hidden="1"/>
    </xf>
    <xf numFmtId="9" fontId="4" fillId="0" borderId="35" xfId="0" applyNumberFormat="1" applyFont="1" applyBorder="1" applyAlignment="1" applyProtection="1">
      <alignment horizontal="center" vertical="center"/>
      <protection locked="0"/>
    </xf>
    <xf numFmtId="0" fontId="4" fillId="6" borderId="15" xfId="5" applyFont="1" applyBorder="1" applyAlignment="1">
      <alignment vertical="center" wrapText="1"/>
    </xf>
    <xf numFmtId="0" fontId="4" fillId="6" borderId="27" xfId="5" applyFont="1" applyBorder="1" applyAlignment="1">
      <alignment vertical="center" wrapText="1"/>
    </xf>
    <xf numFmtId="0" fontId="4" fillId="0" borderId="0" xfId="0" applyFont="1" applyAlignment="1">
      <alignment horizontal="center" vertical="center" wrapText="1"/>
    </xf>
    <xf numFmtId="0" fontId="7" fillId="6" borderId="4" xfId="5" applyFont="1" applyAlignment="1">
      <alignment horizontal="left" vertical="center" wrapText="1"/>
    </xf>
    <xf numFmtId="0" fontId="7" fillId="6" borderId="10" xfId="5" applyFont="1" applyBorder="1" applyAlignment="1">
      <alignment horizontal="left" vertical="center" wrapText="1"/>
    </xf>
    <xf numFmtId="0" fontId="7" fillId="6" borderId="46" xfId="5" applyFont="1" applyBorder="1" applyAlignment="1">
      <alignment horizontal="left" vertical="center" wrapText="1"/>
    </xf>
    <xf numFmtId="0" fontId="7" fillId="6" borderId="45" xfId="5" applyFont="1" applyBorder="1" applyAlignment="1">
      <alignment horizontal="left" vertical="center" wrapText="1"/>
    </xf>
    <xf numFmtId="0" fontId="8" fillId="3" borderId="3" xfId="4" applyFont="1" applyBorder="1" applyAlignment="1">
      <alignment horizontal="center" vertical="center"/>
    </xf>
    <xf numFmtId="0" fontId="4" fillId="0" borderId="37" xfId="0" applyFont="1" applyBorder="1"/>
    <xf numFmtId="1" fontId="0" fillId="0" borderId="38" xfId="0" applyNumberFormat="1" applyBorder="1"/>
    <xf numFmtId="1" fontId="16" fillId="6" borderId="14" xfId="9" applyNumberFormat="1" applyAlignment="1" applyProtection="1">
      <alignment horizontal="center" vertical="center" wrapText="1"/>
      <protection locked="0"/>
    </xf>
    <xf numFmtId="0" fontId="4" fillId="7" borderId="73" xfId="6" applyFont="1" applyBorder="1" applyAlignment="1" applyProtection="1">
      <alignment horizontal="center" vertical="center" wrapText="1"/>
    </xf>
    <xf numFmtId="0" fontId="0" fillId="6" borderId="48" xfId="5" applyFont="1" applyBorder="1" applyAlignment="1" applyProtection="1">
      <alignment horizontal="center" vertical="center"/>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0" fontId="1" fillId="0" borderId="3" xfId="3" applyFont="1" applyAlignment="1" applyProtection="1">
      <alignment horizontal="center" vertical="center" wrapText="1"/>
      <protection locked="0"/>
    </xf>
    <xf numFmtId="1" fontId="0" fillId="0" borderId="0" xfId="0" applyNumberFormat="1" applyAlignment="1">
      <alignment horizontal="center" vertical="center" wrapText="1"/>
    </xf>
    <xf numFmtId="0" fontId="26" fillId="0" borderId="69" xfId="3" applyNumberFormat="1" applyFont="1" applyBorder="1" applyAlignment="1" applyProtection="1">
      <alignment horizontal="center" vertical="center" wrapText="1"/>
    </xf>
    <xf numFmtId="0" fontId="10" fillId="0" borderId="35" xfId="0" applyFont="1" applyBorder="1" applyAlignment="1">
      <alignment vertical="top" wrapText="1"/>
    </xf>
    <xf numFmtId="0" fontId="0" fillId="0" borderId="14" xfId="0" applyBorder="1" applyAlignment="1">
      <alignment horizontal="center" vertical="center" wrapText="1"/>
    </xf>
    <xf numFmtId="0" fontId="4" fillId="0" borderId="39" xfId="0" applyFont="1" applyBorder="1" applyAlignment="1">
      <alignment vertical="top" wrapText="1"/>
    </xf>
    <xf numFmtId="0" fontId="4" fillId="0" borderId="0" xfId="0" applyFont="1" applyAlignment="1">
      <alignment vertical="top" wrapText="1"/>
    </xf>
    <xf numFmtId="0" fontId="15" fillId="7" borderId="14" xfId="6" applyFont="1" applyBorder="1" applyAlignment="1" applyProtection="1">
      <alignment horizontal="center" vertical="center" wrapText="1"/>
      <protection locked="0"/>
    </xf>
    <xf numFmtId="0" fontId="15" fillId="7" borderId="40" xfId="6" applyFont="1" applyBorder="1" applyAlignment="1" applyProtection="1">
      <alignment horizontal="center" vertical="center" wrapText="1"/>
      <protection locked="0"/>
    </xf>
    <xf numFmtId="0" fontId="15" fillId="14" borderId="0" xfId="0" applyFont="1" applyFill="1" applyAlignment="1">
      <alignment horizontal="center" vertical="center"/>
    </xf>
    <xf numFmtId="0" fontId="4" fillId="0" borderId="35" xfId="0" applyFont="1" applyBorder="1" applyAlignment="1">
      <alignment horizontal="center" vertical="center"/>
    </xf>
    <xf numFmtId="164" fontId="4" fillId="0" borderId="35" xfId="0" applyNumberFormat="1" applyFont="1" applyBorder="1" applyAlignment="1">
      <alignment horizontal="center" vertical="center"/>
    </xf>
    <xf numFmtId="2" fontId="0" fillId="15" borderId="0" xfId="0" applyNumberFormat="1" applyFill="1" applyAlignment="1">
      <alignment horizontal="center" vertical="center"/>
    </xf>
    <xf numFmtId="0" fontId="0" fillId="0" borderId="100" xfId="0" applyBorder="1" applyAlignment="1">
      <alignment horizontal="center" vertical="center" wrapText="1"/>
    </xf>
    <xf numFmtId="0" fontId="0" fillId="0" borderId="101" xfId="0" applyBorder="1" applyAlignment="1" applyProtection="1">
      <alignment horizontal="center" vertical="center" wrapText="1"/>
      <protection locked="0"/>
    </xf>
    <xf numFmtId="0" fontId="0" fillId="0" borderId="102" xfId="0" applyBorder="1" applyAlignment="1">
      <alignment horizontal="center" vertical="center" wrapText="1"/>
    </xf>
    <xf numFmtId="0" fontId="0" fillId="0" borderId="103" xfId="0" applyBorder="1" applyAlignment="1" applyProtection="1">
      <alignment horizontal="center" vertical="center" wrapText="1"/>
      <protection locked="0"/>
    </xf>
    <xf numFmtId="0" fontId="0" fillId="0" borderId="104" xfId="0" applyBorder="1" applyAlignment="1">
      <alignment horizontal="center" vertical="center" wrapText="1"/>
    </xf>
    <xf numFmtId="0" fontId="0" fillId="0" borderId="105" xfId="0" applyBorder="1" applyAlignment="1" applyProtection="1">
      <alignment horizontal="center" vertical="center" wrapText="1"/>
      <protection locked="0"/>
    </xf>
    <xf numFmtId="0" fontId="0" fillId="17" borderId="14" xfId="0" applyFill="1" applyBorder="1" applyAlignment="1">
      <alignment horizontal="center" vertical="center" wrapText="1"/>
    </xf>
    <xf numFmtId="165" fontId="0" fillId="17" borderId="14" xfId="0" applyNumberFormat="1" applyFill="1" applyBorder="1" applyAlignment="1">
      <alignment horizontal="center" vertical="center" wrapText="1"/>
    </xf>
    <xf numFmtId="0" fontId="0" fillId="17" borderId="32" xfId="0" applyFill="1" applyBorder="1" applyAlignment="1">
      <alignment horizontal="center" vertical="center" wrapText="1"/>
    </xf>
    <xf numFmtId="0" fontId="0" fillId="17" borderId="19" xfId="0" applyFill="1" applyBorder="1" applyAlignment="1">
      <alignment horizontal="center" vertical="center" wrapText="1"/>
    </xf>
    <xf numFmtId="164" fontId="43" fillId="16" borderId="62" xfId="0" applyNumberFormat="1" applyFont="1" applyFill="1" applyBorder="1" applyAlignment="1">
      <alignment horizontal="center" vertical="center"/>
    </xf>
    <xf numFmtId="0" fontId="4" fillId="0" borderId="0" xfId="0" applyFont="1" applyAlignment="1" applyProtection="1">
      <alignment vertical="top"/>
      <protection hidden="1"/>
    </xf>
    <xf numFmtId="0" fontId="0" fillId="0" borderId="0" xfId="0" applyProtection="1">
      <protection hidden="1"/>
    </xf>
    <xf numFmtId="0" fontId="0" fillId="0" borderId="37" xfId="0" applyBorder="1" applyProtection="1">
      <protection hidden="1"/>
    </xf>
    <xf numFmtId="0" fontId="4" fillId="0" borderId="0" xfId="0" applyFont="1" applyProtection="1">
      <protection hidden="1"/>
    </xf>
    <xf numFmtId="14" fontId="27" fillId="0" borderId="0" xfId="0" applyNumberFormat="1" applyFont="1" applyProtection="1">
      <protection hidden="1"/>
    </xf>
    <xf numFmtId="0" fontId="0" fillId="0" borderId="0" xfId="0" applyAlignment="1" applyProtection="1">
      <alignment vertical="center"/>
      <protection hidden="1"/>
    </xf>
    <xf numFmtId="0" fontId="0" fillId="0" borderId="0" xfId="0" applyAlignment="1" applyProtection="1">
      <alignment vertical="center" wrapText="1"/>
      <protection hidden="1"/>
    </xf>
    <xf numFmtId="0" fontId="4" fillId="0" borderId="35" xfId="3" applyBorder="1" applyAlignment="1" applyProtection="1">
      <alignment horizontal="left" vertical="center"/>
      <protection hidden="1"/>
    </xf>
    <xf numFmtId="0" fontId="26" fillId="0" borderId="83" xfId="3" applyFont="1" applyBorder="1" applyAlignment="1" applyProtection="1">
      <alignment horizontal="center" vertical="center" wrapText="1"/>
      <protection hidden="1"/>
    </xf>
    <xf numFmtId="0" fontId="0" fillId="0" borderId="53" xfId="3" applyFont="1" applyBorder="1" applyAlignment="1" applyProtection="1">
      <alignment horizontal="center" vertical="center" wrapText="1"/>
      <protection locked="0" hidden="1"/>
    </xf>
    <xf numFmtId="0" fontId="14" fillId="10" borderId="50" xfId="8" applyFont="1" applyFill="1" applyBorder="1" applyAlignment="1" applyProtection="1">
      <alignment horizontal="center" vertical="center" wrapText="1"/>
      <protection locked="0" hidden="1"/>
    </xf>
    <xf numFmtId="0" fontId="4" fillId="0" borderId="68" xfId="3" applyBorder="1" applyAlignment="1" applyProtection="1">
      <alignment horizontal="left" vertical="center"/>
      <protection hidden="1"/>
    </xf>
    <xf numFmtId="0" fontId="4" fillId="0" borderId="35" xfId="3" applyBorder="1" applyAlignment="1" applyProtection="1">
      <alignment horizontal="left" vertical="center" wrapText="1"/>
      <protection hidden="1"/>
    </xf>
    <xf numFmtId="0" fontId="1" fillId="0" borderId="35" xfId="3" applyFont="1" applyBorder="1" applyAlignment="1" applyProtection="1">
      <alignment horizontal="center" vertical="center" wrapText="1"/>
      <protection locked="0" hidden="1"/>
    </xf>
    <xf numFmtId="0" fontId="4" fillId="0" borderId="66" xfId="3" applyBorder="1" applyAlignment="1" applyProtection="1">
      <alignment horizontal="left" vertical="center" wrapText="1"/>
      <protection hidden="1"/>
    </xf>
    <xf numFmtId="0" fontId="0" fillId="0" borderId="14" xfId="0" applyBorder="1" applyAlignment="1" applyProtection="1">
      <alignment horizontal="center" vertical="center" wrapText="1"/>
      <protection locked="0" hidden="1"/>
    </xf>
    <xf numFmtId="166" fontId="4" fillId="0" borderId="37" xfId="0" applyNumberFormat="1" applyFont="1" applyBorder="1" applyAlignment="1" applyProtection="1">
      <alignment horizontal="center" vertical="center"/>
      <protection hidden="1"/>
    </xf>
    <xf numFmtId="49" fontId="26" fillId="0" borderId="83" xfId="3" applyNumberFormat="1" applyFont="1" applyBorder="1" applyAlignment="1" applyProtection="1">
      <alignment horizontal="center" vertical="center" wrapText="1"/>
      <protection hidden="1"/>
    </xf>
    <xf numFmtId="0" fontId="0" fillId="0" borderId="53" xfId="3" applyFont="1" applyBorder="1" applyAlignment="1" applyProtection="1">
      <alignment horizontal="center" vertical="center" wrapText="1"/>
      <protection hidden="1"/>
    </xf>
    <xf numFmtId="0" fontId="14" fillId="10" borderId="50" xfId="8" applyFont="1" applyFill="1" applyBorder="1" applyAlignment="1" applyProtection="1">
      <alignment horizontal="center" vertical="center" wrapText="1"/>
      <protection hidden="1"/>
    </xf>
    <xf numFmtId="0" fontId="0" fillId="0" borderId="67" xfId="3" applyFont="1" applyBorder="1" applyAlignment="1" applyProtection="1">
      <alignment horizontal="center" vertical="center" wrapText="1"/>
      <protection hidden="1"/>
    </xf>
    <xf numFmtId="0" fontId="1" fillId="0" borderId="35" xfId="3" applyFont="1" applyBorder="1" applyAlignment="1" applyProtection="1">
      <alignment horizontal="center" vertical="center" wrapText="1"/>
      <protection hidden="1"/>
    </xf>
    <xf numFmtId="0" fontId="0" fillId="0" borderId="14" xfId="0" applyBorder="1" applyAlignment="1" applyProtection="1">
      <alignment horizontal="center" vertical="center" wrapText="1"/>
      <protection hidden="1"/>
    </xf>
    <xf numFmtId="166" fontId="4" fillId="0" borderId="37" xfId="0" applyNumberFormat="1" applyFont="1" applyBorder="1" applyAlignment="1" applyProtection="1">
      <alignment horizontal="left" vertical="center"/>
      <protection hidden="1"/>
    </xf>
    <xf numFmtId="0" fontId="4" fillId="0" borderId="0" xfId="0" applyFont="1" applyAlignment="1" applyProtection="1">
      <alignment vertical="center"/>
      <protection hidden="1"/>
    </xf>
    <xf numFmtId="168" fontId="15" fillId="0" borderId="54" xfId="3" applyNumberFormat="1" applyFont="1" applyBorder="1" applyAlignment="1" applyProtection="1">
      <alignment horizontal="left" vertical="center" wrapText="1"/>
      <protection locked="0" hidden="1"/>
    </xf>
    <xf numFmtId="169" fontId="27" fillId="0" borderId="0" xfId="0" applyNumberFormat="1" applyFont="1" applyAlignment="1" applyProtection="1">
      <alignment horizontal="left"/>
      <protection locked="0"/>
    </xf>
    <xf numFmtId="1" fontId="0" fillId="0" borderId="52" xfId="0" applyNumberFormat="1" applyBorder="1" applyAlignment="1">
      <alignment horizontal="left" vertical="center" wrapText="1"/>
    </xf>
    <xf numFmtId="1" fontId="0" fillId="0" borderId="53" xfId="0" applyNumberFormat="1" applyBorder="1" applyAlignment="1">
      <alignment horizontal="left" vertical="center" wrapText="1"/>
    </xf>
    <xf numFmtId="49" fontId="26" fillId="0" borderId="47" xfId="3" applyNumberFormat="1" applyFont="1" applyBorder="1" applyAlignment="1" applyProtection="1">
      <alignment horizontal="center" vertical="center" wrapText="1"/>
      <protection locked="0"/>
    </xf>
    <xf numFmtId="0" fontId="0" fillId="0" borderId="106" xfId="0" applyBorder="1" applyAlignment="1" applyProtection="1">
      <alignment horizontal="center" vertical="center" wrapText="1"/>
      <protection locked="0" hidden="1"/>
    </xf>
    <xf numFmtId="0" fontId="0" fillId="0" borderId="107" xfId="0" applyBorder="1" applyAlignment="1" applyProtection="1">
      <alignment horizontal="center" vertical="center" wrapText="1"/>
      <protection locked="0" hidden="1"/>
    </xf>
    <xf numFmtId="0" fontId="0" fillId="0" borderId="107" xfId="0" applyBorder="1" applyAlignment="1" applyProtection="1">
      <alignment horizontal="center" vertical="center" wrapText="1"/>
      <protection hidden="1"/>
    </xf>
    <xf numFmtId="0" fontId="4" fillId="0" borderId="69" xfId="3" applyBorder="1" applyAlignment="1" applyProtection="1">
      <alignment horizontal="left" vertical="center" wrapText="1"/>
      <protection hidden="1"/>
    </xf>
    <xf numFmtId="0" fontId="0" fillId="0" borderId="35" xfId="3" applyFont="1" applyBorder="1" applyAlignment="1" applyProtection="1">
      <alignment horizontal="center" vertical="center" wrapText="1"/>
      <protection locked="0" hidden="1"/>
    </xf>
    <xf numFmtId="0" fontId="0" fillId="0" borderId="108" xfId="0" applyBorder="1" applyAlignment="1" applyProtection="1">
      <alignment horizontal="center" vertical="center" wrapText="1"/>
      <protection locked="0" hidden="1"/>
    </xf>
    <xf numFmtId="0" fontId="4" fillId="0" borderId="0" xfId="0" applyFont="1" applyAlignment="1" applyProtection="1">
      <alignment horizontal="left" vertical="top"/>
      <protection hidden="1"/>
    </xf>
    <xf numFmtId="0" fontId="44" fillId="0" borderId="115" xfId="0" applyFont="1" applyBorder="1" applyAlignment="1">
      <alignment horizontal="center" vertical="center"/>
    </xf>
    <xf numFmtId="0" fontId="45" fillId="0" borderId="0" xfId="0" applyFont="1" applyAlignment="1">
      <alignment horizontal="right" vertical="center"/>
    </xf>
    <xf numFmtId="0" fontId="4" fillId="14" borderId="117" xfId="0" applyFont="1" applyFill="1" applyBorder="1" applyAlignment="1">
      <alignment horizontal="center" vertical="center"/>
    </xf>
    <xf numFmtId="164" fontId="4" fillId="0" borderId="118" xfId="0" applyNumberFormat="1" applyFont="1" applyBorder="1" applyAlignment="1">
      <alignment horizontal="center" vertical="center"/>
    </xf>
    <xf numFmtId="0" fontId="0" fillId="0" borderId="52" xfId="0" applyBorder="1" applyAlignment="1" applyProtection="1">
      <alignment horizontal="center" vertical="center" wrapText="1"/>
      <protection locked="0"/>
    </xf>
    <xf numFmtId="1" fontId="0" fillId="0" borderId="53" xfId="0" applyNumberFormat="1" applyBorder="1" applyAlignment="1" applyProtection="1">
      <alignment horizontal="left" vertical="center" wrapText="1"/>
      <protection locked="0"/>
    </xf>
    <xf numFmtId="1" fontId="0" fillId="0" borderId="54" xfId="0" applyNumberFormat="1" applyBorder="1" applyAlignment="1" applyProtection="1">
      <alignment horizontal="left" vertical="center" wrapText="1"/>
      <protection locked="0"/>
    </xf>
    <xf numFmtId="0" fontId="0" fillId="0" borderId="122" xfId="0" applyBorder="1" applyAlignment="1" applyProtection="1">
      <alignment horizontal="center" vertical="center" wrapText="1"/>
      <protection locked="0" hidden="1"/>
    </xf>
    <xf numFmtId="0" fontId="5" fillId="13" borderId="54" xfId="0" applyFont="1" applyFill="1" applyBorder="1" applyAlignment="1" applyProtection="1">
      <alignment horizontal="center" vertical="center" wrapText="1"/>
      <protection hidden="1"/>
    </xf>
    <xf numFmtId="0" fontId="0" fillId="0" borderId="125" xfId="0" applyBorder="1" applyAlignment="1" applyProtection="1">
      <alignment horizontal="left" vertical="center" wrapText="1"/>
      <protection locked="0"/>
    </xf>
    <xf numFmtId="0" fontId="5" fillId="0" borderId="35" xfId="0" applyFont="1" applyBorder="1" applyAlignment="1">
      <alignment horizontal="left" vertical="center" wrapText="1"/>
    </xf>
    <xf numFmtId="0" fontId="0" fillId="0" borderId="35" xfId="0" applyBorder="1" applyAlignment="1" applyProtection="1">
      <alignment horizontal="left" vertical="center" wrapText="1"/>
      <protection hidden="1"/>
    </xf>
    <xf numFmtId="0" fontId="40" fillId="0" borderId="52" xfId="3" applyFont="1" applyBorder="1" applyAlignment="1" applyProtection="1">
      <alignment horizontal="left" vertical="center" wrapText="1"/>
      <protection hidden="1"/>
    </xf>
    <xf numFmtId="1" fontId="3" fillId="0" borderId="53" xfId="0" applyNumberFormat="1" applyFont="1" applyBorder="1" applyAlignment="1" applyProtection="1">
      <alignment horizontal="left" vertical="center" wrapText="1"/>
      <protection hidden="1"/>
    </xf>
    <xf numFmtId="164" fontId="3" fillId="0" borderId="53" xfId="0" applyNumberFormat="1" applyFont="1" applyBorder="1" applyAlignment="1" applyProtection="1">
      <alignment horizontal="left" wrapText="1"/>
      <protection hidden="1"/>
    </xf>
    <xf numFmtId="164" fontId="5" fillId="0" borderId="54" xfId="0" applyNumberFormat="1" applyFont="1" applyBorder="1" applyAlignment="1" applyProtection="1">
      <alignment horizontal="left" vertical="center" wrapText="1"/>
      <protection locked="0"/>
    </xf>
    <xf numFmtId="0" fontId="10" fillId="0" borderId="67" xfId="3" applyFont="1" applyBorder="1" applyAlignment="1" applyProtection="1">
      <alignment horizontal="center" vertical="center" wrapText="1"/>
      <protection locked="0" hidden="1"/>
    </xf>
    <xf numFmtId="0" fontId="44" fillId="0" borderId="0" xfId="0" applyFont="1" applyAlignment="1">
      <alignment horizontal="right" vertical="center"/>
    </xf>
    <xf numFmtId="0" fontId="0" fillId="6" borderId="44" xfId="5" applyFont="1" applyBorder="1" applyAlignment="1" applyProtection="1">
      <alignment horizontal="center" vertical="center"/>
      <protection locked="0"/>
    </xf>
    <xf numFmtId="173" fontId="0" fillId="0" borderId="0" xfId="0" applyNumberFormat="1"/>
    <xf numFmtId="174" fontId="0" fillId="0" borderId="0" xfId="0" applyNumberFormat="1"/>
    <xf numFmtId="0" fontId="5" fillId="0" borderId="0" xfId="10" applyFont="1" applyAlignment="1" applyProtection="1">
      <alignment vertical="center" wrapText="1"/>
      <protection hidden="1"/>
    </xf>
    <xf numFmtId="0" fontId="5" fillId="0" borderId="0" xfId="0" applyFont="1" applyAlignment="1" applyProtection="1">
      <alignment vertical="center" wrapText="1"/>
      <protection hidden="1"/>
    </xf>
    <xf numFmtId="1" fontId="3" fillId="6" borderId="14" xfId="9" applyNumberFormat="1" applyFont="1" applyProtection="1">
      <protection hidden="1"/>
    </xf>
    <xf numFmtId="0" fontId="3" fillId="6" borderId="14" xfId="9" applyFont="1" applyProtection="1">
      <protection hidden="1"/>
    </xf>
    <xf numFmtId="0" fontId="5" fillId="0" borderId="0" xfId="10" applyFont="1" applyAlignment="1" applyProtection="1">
      <alignment wrapText="1"/>
      <protection hidden="1"/>
    </xf>
    <xf numFmtId="0" fontId="3" fillId="6" borderId="14" xfId="9" applyFont="1"/>
    <xf numFmtId="0" fontId="5" fillId="6" borderId="14" xfId="9" applyFont="1" applyAlignment="1" applyProtection="1">
      <alignment wrapText="1"/>
      <protection hidden="1"/>
    </xf>
    <xf numFmtId="0" fontId="5" fillId="0" borderId="0" xfId="0" applyFont="1" applyAlignment="1" applyProtection="1">
      <alignment wrapText="1"/>
      <protection hidden="1"/>
    </xf>
    <xf numFmtId="0" fontId="46" fillId="0" borderId="0" xfId="0" applyFont="1"/>
    <xf numFmtId="0" fontId="0" fillId="0" borderId="35" xfId="3" applyFont="1" applyBorder="1" applyAlignment="1" applyProtection="1">
      <alignment horizontal="center" vertical="center" wrapText="1"/>
      <protection locked="0"/>
    </xf>
    <xf numFmtId="0" fontId="46" fillId="0" borderId="0" xfId="0" applyFont="1" applyAlignment="1">
      <alignment horizontal="left" vertical="center"/>
    </xf>
    <xf numFmtId="0" fontId="46" fillId="0" borderId="0" xfId="0" applyFont="1" applyAlignment="1">
      <alignment horizontal="center" vertical="center"/>
    </xf>
    <xf numFmtId="0" fontId="46" fillId="0" borderId="0" xfId="0" applyFont="1" applyAlignment="1">
      <alignment wrapText="1"/>
    </xf>
    <xf numFmtId="0" fontId="46" fillId="0" borderId="38" xfId="0" applyFont="1" applyBorder="1"/>
    <xf numFmtId="0" fontId="4" fillId="0" borderId="0" xfId="0" applyFont="1" applyAlignment="1">
      <alignment horizontal="right" vertical="top"/>
    </xf>
    <xf numFmtId="0" fontId="0" fillId="0" borderId="0" xfId="0" applyAlignment="1">
      <alignment horizontal="right" vertical="top"/>
    </xf>
    <xf numFmtId="0" fontId="4" fillId="0" borderId="0" xfId="1" applyFont="1" applyFill="1" applyBorder="1" applyAlignment="1">
      <alignment horizontal="left"/>
    </xf>
    <xf numFmtId="0" fontId="0" fillId="0" borderId="0" xfId="0" applyAlignment="1" applyProtection="1">
      <alignment horizontal="center" vertical="center"/>
      <protection locked="0"/>
    </xf>
    <xf numFmtId="0" fontId="15" fillId="0" borderId="0" xfId="6" applyFont="1" applyFill="1" applyBorder="1" applyAlignment="1" applyProtection="1">
      <alignment horizontal="center" vertical="center" wrapText="1"/>
      <protection locked="0"/>
    </xf>
    <xf numFmtId="0" fontId="0" fillId="0" borderId="0" xfId="0" applyAlignment="1" applyProtection="1">
      <alignment horizontal="left" vertical="top" wrapText="1"/>
      <protection locked="0"/>
    </xf>
    <xf numFmtId="0" fontId="7" fillId="0" borderId="0" xfId="0" applyFont="1" applyAlignment="1">
      <alignment horizontal="left" vertical="center" wrapText="1"/>
    </xf>
    <xf numFmtId="0" fontId="0" fillId="0" borderId="0" xfId="0" applyAlignment="1" applyProtection="1">
      <alignment vertical="center"/>
      <protection locked="0"/>
    </xf>
    <xf numFmtId="0" fontId="17" fillId="0" borderId="0" xfId="0" applyFont="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7" fillId="6" borderId="32" xfId="5" applyFont="1" applyBorder="1" applyAlignment="1">
      <alignment horizontal="center" vertical="center" wrapText="1"/>
    </xf>
    <xf numFmtId="0" fontId="0" fillId="17" borderId="32" xfId="0" applyFill="1" applyBorder="1" applyAlignment="1" applyProtection="1">
      <alignment horizontal="center" vertical="center" wrapText="1"/>
      <protection locked="0"/>
    </xf>
    <xf numFmtId="0" fontId="0" fillId="0" borderId="145" xfId="0" applyBorder="1" applyAlignment="1" applyProtection="1">
      <alignment horizontal="center" vertical="center" wrapText="1"/>
      <protection locked="0"/>
    </xf>
    <xf numFmtId="0" fontId="0" fillId="0" borderId="146" xfId="0" applyBorder="1" applyAlignment="1" applyProtection="1">
      <alignment horizontal="center" vertical="center" wrapText="1"/>
      <protection locked="0"/>
    </xf>
    <xf numFmtId="49" fontId="26" fillId="0" borderId="41" xfId="3" applyNumberFormat="1" applyFont="1" applyFill="1" applyBorder="1" applyAlignment="1" applyProtection="1">
      <alignment horizontal="center" vertical="center" wrapText="1"/>
      <protection locked="0"/>
    </xf>
    <xf numFmtId="0" fontId="0" fillId="0" borderId="41" xfId="3" applyFont="1" applyFill="1" applyBorder="1" applyAlignment="1" applyProtection="1">
      <alignment horizontal="center" vertical="center" wrapText="1"/>
    </xf>
    <xf numFmtId="0" fontId="0" fillId="0" borderId="41" xfId="3" applyFont="1" applyFill="1" applyBorder="1" applyAlignment="1" applyProtection="1">
      <alignment horizontal="center" vertical="center"/>
      <protection locked="0"/>
    </xf>
    <xf numFmtId="0" fontId="0" fillId="0" borderId="41" xfId="3" applyFont="1" applyFill="1" applyBorder="1" applyAlignment="1" applyProtection="1">
      <alignment horizontal="center" vertical="center"/>
    </xf>
    <xf numFmtId="0" fontId="1" fillId="0" borderId="41" xfId="3" applyFont="1" applyFill="1" applyBorder="1" applyAlignment="1" applyProtection="1">
      <alignment horizontal="center" vertical="center" wrapText="1"/>
    </xf>
    <xf numFmtId="0" fontId="5" fillId="0" borderId="54" xfId="0" applyFont="1" applyBorder="1" applyAlignment="1">
      <alignment vertical="center" wrapText="1"/>
    </xf>
    <xf numFmtId="2" fontId="4" fillId="17" borderId="19" xfId="0" applyNumberFormat="1" applyFont="1" applyFill="1" applyBorder="1" applyAlignment="1" applyProtection="1">
      <alignment horizontal="center" vertical="center" wrapText="1"/>
      <protection hidden="1"/>
    </xf>
    <xf numFmtId="2" fontId="4" fillId="17" borderId="14" xfId="0" applyNumberFormat="1" applyFont="1" applyFill="1" applyBorder="1" applyAlignment="1" applyProtection="1">
      <alignment horizontal="center" vertical="center" wrapText="1"/>
      <protection hidden="1"/>
    </xf>
    <xf numFmtId="174" fontId="0" fillId="0" borderId="0" xfId="0" applyNumberFormat="1" applyAlignment="1" applyProtection="1">
      <alignment horizontal="center" vertical="center" wrapText="1"/>
      <protection locked="0"/>
    </xf>
    <xf numFmtId="0" fontId="29" fillId="3" borderId="155" xfId="4" applyFont="1" applyBorder="1" applyAlignment="1">
      <alignment horizontal="left" vertical="center"/>
    </xf>
    <xf numFmtId="2" fontId="0" fillId="0" borderId="0" xfId="0" applyNumberFormat="1"/>
    <xf numFmtId="0" fontId="1" fillId="6" borderId="10" xfId="5" applyFont="1" applyBorder="1" applyAlignment="1">
      <alignment vertical="center" wrapText="1"/>
    </xf>
    <xf numFmtId="0" fontId="3" fillId="3" borderId="13" xfId="4" applyFont="1" applyBorder="1" applyAlignment="1">
      <alignment vertical="center"/>
    </xf>
    <xf numFmtId="0" fontId="3" fillId="3" borderId="39" xfId="4" applyFont="1" applyBorder="1" applyAlignment="1">
      <alignment horizontal="center" vertical="center" wrapText="1"/>
    </xf>
    <xf numFmtId="0" fontId="1" fillId="6" borderId="10" xfId="5" applyFont="1" applyBorder="1" applyAlignment="1">
      <alignment vertical="top" wrapText="1"/>
    </xf>
    <xf numFmtId="0" fontId="3" fillId="3" borderId="13" xfId="4" applyFont="1" applyBorder="1" applyAlignment="1">
      <alignment vertical="center" wrapText="1"/>
    </xf>
    <xf numFmtId="0" fontId="3" fillId="18" borderId="162" xfId="13" applyFont="1" applyBorder="1" applyAlignment="1" applyProtection="1"/>
    <xf numFmtId="175" fontId="27" fillId="0" borderId="35" xfId="0" applyNumberFormat="1" applyFont="1" applyBorder="1" applyAlignment="1">
      <alignment horizontal="center" vertical="center" wrapText="1"/>
    </xf>
    <xf numFmtId="171" fontId="4" fillId="0" borderId="167" xfId="0" applyNumberFormat="1" applyFont="1" applyBorder="1" applyAlignment="1">
      <alignment horizontal="center" vertical="center"/>
    </xf>
    <xf numFmtId="171" fontId="4" fillId="13" borderId="167" xfId="0" applyNumberFormat="1" applyFont="1" applyFill="1" applyBorder="1" applyAlignment="1">
      <alignment horizontal="center" vertical="center"/>
    </xf>
    <xf numFmtId="164" fontId="4" fillId="14" borderId="167" xfId="0" applyNumberFormat="1" applyFont="1" applyFill="1" applyBorder="1" applyAlignment="1">
      <alignment horizontal="center" vertical="center"/>
    </xf>
    <xf numFmtId="1" fontId="0" fillId="0" borderId="54" xfId="0" applyNumberFormat="1" applyBorder="1" applyAlignment="1">
      <alignment horizontal="left" vertical="center" wrapText="1"/>
    </xf>
    <xf numFmtId="1" fontId="0" fillId="0" borderId="53" xfId="0" applyNumberFormat="1" applyBorder="1" applyAlignment="1">
      <alignment vertical="center" wrapText="1"/>
    </xf>
    <xf numFmtId="1" fontId="0" fillId="0" borderId="0" xfId="0" applyNumberFormat="1" applyAlignment="1" applyProtection="1">
      <alignment horizontal="left"/>
      <protection hidden="1"/>
    </xf>
    <xf numFmtId="0" fontId="46" fillId="0" borderId="53" xfId="0" applyFont="1" applyBorder="1" applyAlignment="1" applyProtection="1">
      <alignment wrapText="1"/>
      <protection hidden="1"/>
    </xf>
    <xf numFmtId="1" fontId="28" fillId="0" borderId="53" xfId="0" applyNumberFormat="1" applyFont="1" applyBorder="1" applyAlignment="1">
      <alignment vertical="center" wrapText="1"/>
    </xf>
    <xf numFmtId="0" fontId="0" fillId="0" borderId="0" xfId="0" applyAlignment="1" applyProtection="1">
      <alignment horizontal="left"/>
      <protection locked="0"/>
    </xf>
    <xf numFmtId="0" fontId="0" fillId="0" borderId="54" xfId="0" applyBorder="1" applyProtection="1">
      <protection locked="0"/>
    </xf>
    <xf numFmtId="0" fontId="3" fillId="6" borderId="24" xfId="9" applyFont="1" applyBorder="1" applyProtection="1">
      <protection hidden="1"/>
    </xf>
    <xf numFmtId="0" fontId="5"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3" fillId="2" borderId="2" xfId="2" applyProtection="1">
      <protection hidden="1"/>
    </xf>
    <xf numFmtId="0" fontId="3" fillId="2" borderId="2" xfId="2" applyAlignment="1" applyProtection="1">
      <alignment horizontal="center" vertical="center"/>
      <protection hidden="1"/>
    </xf>
    <xf numFmtId="0" fontId="5" fillId="0" borderId="0" xfId="0" applyFont="1" applyAlignment="1" applyProtection="1">
      <alignment horizontal="center"/>
      <protection hidden="1"/>
    </xf>
    <xf numFmtId="9" fontId="5" fillId="0" borderId="0" xfId="0" applyNumberFormat="1" applyFont="1" applyProtection="1">
      <protection hidden="1"/>
    </xf>
    <xf numFmtId="0" fontId="5" fillId="0" borderId="39" xfId="0" applyFont="1" applyBorder="1" applyAlignment="1" applyProtection="1">
      <alignment horizontal="left" vertical="center"/>
      <protection hidden="1"/>
    </xf>
    <xf numFmtId="0" fontId="0" fillId="0" borderId="52"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19" fillId="0" borderId="0" xfId="0" applyFont="1" applyAlignment="1">
      <alignment horizontal="center" vertical="center" wrapText="1"/>
    </xf>
    <xf numFmtId="0" fontId="16" fillId="6" borderId="14" xfId="9" applyAlignment="1" applyProtection="1">
      <alignment horizontal="center" vertical="center" wrapText="1"/>
      <protection locked="0"/>
    </xf>
    <xf numFmtId="0" fontId="4" fillId="0" borderId="35" xfId="3" applyBorder="1" applyAlignment="1" applyProtection="1">
      <alignment horizontal="left" vertical="center" wrapText="1"/>
    </xf>
    <xf numFmtId="0" fontId="0" fillId="0" borderId="53" xfId="0" applyBorder="1" applyAlignment="1">
      <alignment horizontal="left" vertical="center" wrapText="1"/>
    </xf>
    <xf numFmtId="0" fontId="1" fillId="4" borderId="8" xfId="2" applyFont="1" applyFill="1" applyBorder="1" applyAlignment="1" applyProtection="1">
      <alignment horizontal="center" vertical="center" wrapText="1"/>
    </xf>
    <xf numFmtId="0" fontId="0" fillId="0" borderId="54"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27" fillId="0" borderId="0" xfId="0" applyFont="1" applyAlignment="1">
      <alignment horizontal="left" vertical="center" wrapText="1"/>
    </xf>
    <xf numFmtId="0" fontId="4" fillId="0" borderId="0" xfId="0" applyFont="1" applyAlignment="1">
      <alignment horizontal="left"/>
    </xf>
    <xf numFmtId="0" fontId="4" fillId="0" borderId="0" xfId="0" applyFont="1" applyAlignment="1">
      <alignment horizontal="center"/>
    </xf>
    <xf numFmtId="0" fontId="0" fillId="0" borderId="0" xfId="0" applyAlignment="1">
      <alignment vertical="center" wrapText="1"/>
    </xf>
    <xf numFmtId="0" fontId="4" fillId="0" borderId="37" xfId="0" applyFont="1" applyBorder="1" applyAlignment="1" applyProtection="1">
      <alignment horizontal="left"/>
      <protection hidden="1"/>
    </xf>
    <xf numFmtId="0" fontId="0" fillId="0" borderId="54" xfId="0" applyBorder="1" applyAlignment="1" applyProtection="1">
      <alignment horizontal="left" vertical="center" wrapText="1"/>
      <protection hidden="1"/>
    </xf>
    <xf numFmtId="0" fontId="4" fillId="0" borderId="0" xfId="0" applyFont="1" applyAlignment="1" applyProtection="1">
      <alignment horizontal="left"/>
      <protection hidden="1"/>
    </xf>
    <xf numFmtId="0" fontId="0" fillId="0" borderId="0" xfId="0" applyAlignment="1" applyProtection="1">
      <alignment horizontal="left" vertical="center"/>
      <protection locked="0"/>
    </xf>
    <xf numFmtId="0" fontId="0" fillId="0" borderId="0" xfId="0" applyAlignment="1" applyProtection="1">
      <alignment horizontal="center"/>
      <protection hidden="1"/>
    </xf>
    <xf numFmtId="0" fontId="0" fillId="0" borderId="0" xfId="0" applyAlignment="1" applyProtection="1">
      <alignment wrapText="1"/>
      <protection hidden="1"/>
    </xf>
    <xf numFmtId="0" fontId="1" fillId="6" borderId="4" xfId="5" applyFont="1" applyAlignment="1" applyProtection="1">
      <alignment horizontal="center" wrapText="1"/>
      <protection locked="0"/>
    </xf>
    <xf numFmtId="0" fontId="4" fillId="5" borderId="162" xfId="1" applyFont="1" applyFill="1" applyBorder="1" applyAlignment="1" applyProtection="1">
      <alignment horizontal="center" vertical="center" wrapText="1"/>
    </xf>
    <xf numFmtId="0" fontId="4" fillId="13" borderId="73" xfId="6" applyFont="1" applyFill="1" applyBorder="1" applyAlignment="1" applyProtection="1">
      <alignment horizontal="center" vertical="center" wrapText="1"/>
    </xf>
    <xf numFmtId="0" fontId="16" fillId="13" borderId="14" xfId="9" applyFill="1" applyAlignment="1" applyProtection="1">
      <alignment horizontal="center" vertical="center" wrapText="1"/>
      <protection locked="0"/>
    </xf>
    <xf numFmtId="0" fontId="10" fillId="13" borderId="36" xfId="0" applyFont="1" applyFill="1" applyBorder="1" applyAlignment="1" applyProtection="1">
      <alignment horizontal="left" vertical="top" wrapText="1"/>
      <protection locked="0"/>
    </xf>
    <xf numFmtId="0" fontId="10" fillId="13" borderId="37" xfId="0" applyFont="1" applyFill="1" applyBorder="1" applyAlignment="1" applyProtection="1">
      <alignment horizontal="left" vertical="top" wrapText="1"/>
      <protection locked="0"/>
    </xf>
    <xf numFmtId="0" fontId="10" fillId="13" borderId="38" xfId="0" applyFont="1" applyFill="1" applyBorder="1" applyAlignment="1" applyProtection="1">
      <alignment horizontal="left" vertical="top" wrapText="1"/>
      <protection locked="0"/>
    </xf>
    <xf numFmtId="0" fontId="0" fillId="13" borderId="0" xfId="0" applyFill="1"/>
    <xf numFmtId="0" fontId="5" fillId="0" borderId="0" xfId="0" applyFont="1"/>
    <xf numFmtId="0" fontId="5" fillId="0" borderId="0" xfId="0" applyFont="1" applyAlignment="1">
      <alignment wrapText="1"/>
    </xf>
    <xf numFmtId="0" fontId="5" fillId="0" borderId="0" xfId="0" applyFont="1" applyAlignment="1">
      <alignment vertical="center" wrapText="1"/>
    </xf>
    <xf numFmtId="0" fontId="5" fillId="0" borderId="0" xfId="0" applyFont="1" applyAlignment="1">
      <alignment horizontal="center" vertical="center"/>
    </xf>
    <xf numFmtId="0" fontId="3" fillId="0" borderId="0" xfId="0" applyFont="1" applyProtection="1">
      <protection hidden="1"/>
    </xf>
    <xf numFmtId="0" fontId="3" fillId="0" borderId="0" xfId="0" applyFont="1" applyAlignment="1" applyProtection="1">
      <alignment wrapText="1"/>
      <protection hidden="1"/>
    </xf>
    <xf numFmtId="0" fontId="3" fillId="0" borderId="0" xfId="0" applyFont="1" applyAlignment="1" applyProtection="1">
      <alignment horizontal="left" vertical="center"/>
      <protection hidden="1"/>
    </xf>
    <xf numFmtId="0" fontId="5" fillId="0" borderId="0" xfId="0" applyFont="1" applyAlignment="1" applyProtection="1">
      <alignment horizontal="left" vertical="center" wrapText="1"/>
      <protection hidden="1"/>
    </xf>
    <xf numFmtId="0" fontId="5" fillId="0" borderId="0" xfId="0" applyFont="1" applyAlignment="1">
      <alignment horizontal="left" vertical="top" wrapText="1"/>
    </xf>
    <xf numFmtId="0" fontId="5" fillId="0" borderId="0" xfId="0" applyFont="1" applyAlignment="1">
      <alignment horizontal="center" vertical="center" wrapText="1"/>
    </xf>
    <xf numFmtId="0" fontId="3" fillId="0" borderId="0" xfId="0" applyFont="1" applyAlignment="1" applyProtection="1">
      <alignment horizontal="left" vertical="center" wrapText="1"/>
      <protection hidden="1"/>
    </xf>
    <xf numFmtId="0" fontId="5" fillId="0" borderId="0" xfId="0" applyFont="1" applyAlignment="1">
      <alignment horizontal="left" vertical="center" wrapText="1"/>
    </xf>
    <xf numFmtId="0" fontId="46" fillId="0" borderId="0" xfId="0" applyFont="1" applyProtection="1">
      <protection hidden="1"/>
    </xf>
    <xf numFmtId="2" fontId="4" fillId="0" borderId="118" xfId="0" applyNumberFormat="1" applyFont="1" applyBorder="1" applyAlignment="1">
      <alignment horizontal="center" vertical="center"/>
    </xf>
    <xf numFmtId="2" fontId="4" fillId="14" borderId="118" xfId="0" applyNumberFormat="1" applyFont="1" applyFill="1" applyBorder="1" applyAlignment="1">
      <alignment horizontal="center" vertical="center"/>
    </xf>
    <xf numFmtId="0" fontId="0" fillId="0" borderId="146" xfId="0" applyBorder="1" applyAlignment="1" applyProtection="1">
      <alignment horizontal="center" vertical="center" wrapText="1"/>
      <protection hidden="1"/>
    </xf>
    <xf numFmtId="0" fontId="46" fillId="0" borderId="0" xfId="0" applyFont="1" applyAlignment="1" applyProtection="1">
      <alignment horizontal="center" vertical="center"/>
      <protection hidden="1"/>
    </xf>
    <xf numFmtId="0" fontId="46" fillId="0" borderId="0" xfId="0" applyFont="1" applyAlignment="1" applyProtection="1">
      <alignment horizontal="left" vertical="center" wrapText="1"/>
      <protection hidden="1"/>
    </xf>
    <xf numFmtId="0" fontId="46" fillId="0" borderId="0" xfId="0" applyFont="1" applyAlignment="1">
      <alignment horizontal="center" vertical="center" wrapText="1"/>
    </xf>
    <xf numFmtId="0" fontId="46" fillId="0" borderId="0" xfId="0" applyFont="1" applyAlignment="1">
      <alignment vertical="center" wrapText="1"/>
    </xf>
    <xf numFmtId="0" fontId="46" fillId="0" borderId="0" xfId="0" applyFont="1" applyAlignment="1">
      <alignment horizontal="left" vertical="center" wrapText="1"/>
    </xf>
    <xf numFmtId="0" fontId="46" fillId="0" borderId="0" xfId="0" applyFont="1" applyAlignment="1">
      <alignment vertical="center"/>
    </xf>
    <xf numFmtId="0" fontId="46" fillId="0" borderId="0" xfId="0" applyFont="1" applyAlignment="1">
      <alignment horizontal="center" wrapText="1"/>
    </xf>
    <xf numFmtId="0" fontId="1" fillId="0" borderId="35" xfId="3" applyFont="1" applyBorder="1" applyAlignment="1" applyProtection="1">
      <alignment horizontal="center" vertical="center" wrapText="1"/>
    </xf>
    <xf numFmtId="0" fontId="1" fillId="13" borderId="43" xfId="5" applyFont="1" applyFill="1" applyBorder="1" applyAlignment="1" applyProtection="1">
      <alignment horizontal="center" vertical="center" wrapText="1"/>
      <protection locked="0"/>
    </xf>
    <xf numFmtId="0" fontId="4" fillId="13" borderId="76" xfId="2" applyFont="1" applyFill="1" applyBorder="1" applyAlignment="1" applyProtection="1">
      <alignment horizontal="center" vertical="center" wrapText="1"/>
      <protection locked="0"/>
    </xf>
    <xf numFmtId="0" fontId="57" fillId="0" borderId="0" xfId="0" applyFont="1" applyAlignment="1" applyProtection="1">
      <alignment horizontal="center" vertical="center"/>
      <protection hidden="1"/>
    </xf>
    <xf numFmtId="0" fontId="57" fillId="0" borderId="0" xfId="0" applyFont="1" applyAlignment="1" applyProtection="1">
      <alignment horizontal="center"/>
      <protection hidden="1"/>
    </xf>
    <xf numFmtId="0" fontId="57" fillId="0" borderId="0" xfId="0" applyFont="1" applyAlignment="1" applyProtection="1">
      <alignment horizontal="center" wrapText="1"/>
      <protection hidden="1"/>
    </xf>
    <xf numFmtId="0" fontId="57" fillId="0" borderId="0" xfId="0" applyFont="1"/>
    <xf numFmtId="0" fontId="58" fillId="19" borderId="0" xfId="0" applyFont="1" applyFill="1" applyAlignment="1">
      <alignment wrapText="1"/>
    </xf>
    <xf numFmtId="0" fontId="58" fillId="19" borderId="0" xfId="0" applyFont="1" applyFill="1"/>
    <xf numFmtId="0" fontId="57" fillId="0" borderId="0" xfId="0" applyFont="1" applyAlignment="1">
      <alignment horizontal="center"/>
    </xf>
    <xf numFmtId="0" fontId="5" fillId="0" borderId="0" xfId="0" applyFont="1" applyAlignment="1">
      <alignment horizontal="center"/>
    </xf>
    <xf numFmtId="0" fontId="57" fillId="0" borderId="0" xfId="0" applyFont="1" applyAlignment="1" applyProtection="1">
      <alignment horizontal="center" vertical="center" wrapText="1"/>
      <protection hidden="1"/>
    </xf>
    <xf numFmtId="0" fontId="57" fillId="0" borderId="0" xfId="0" applyFont="1" applyAlignment="1" applyProtection="1">
      <alignment vertical="center"/>
      <protection hidden="1"/>
    </xf>
    <xf numFmtId="0" fontId="57" fillId="0" borderId="0" xfId="0" applyFont="1" applyProtection="1">
      <protection hidden="1"/>
    </xf>
    <xf numFmtId="0" fontId="57" fillId="0" borderId="0" xfId="0" applyFont="1" applyAlignment="1" applyProtection="1">
      <alignment vertical="center" wrapText="1"/>
      <protection hidden="1"/>
    </xf>
    <xf numFmtId="0" fontId="57" fillId="0" borderId="0" xfId="0" applyFont="1" applyAlignment="1">
      <alignment vertical="center" wrapText="1"/>
    </xf>
    <xf numFmtId="0" fontId="57" fillId="0" borderId="0" xfId="0" applyFont="1" applyAlignment="1">
      <alignment wrapText="1"/>
    </xf>
    <xf numFmtId="0" fontId="57" fillId="0" borderId="0" xfId="0" applyFont="1" applyAlignment="1">
      <alignment horizontal="center" wrapText="1"/>
    </xf>
    <xf numFmtId="0" fontId="57" fillId="0" borderId="0" xfId="0" applyFont="1" applyAlignment="1">
      <alignment horizontal="center" vertical="center"/>
    </xf>
    <xf numFmtId="0" fontId="3" fillId="0" borderId="0" xfId="0" applyFont="1" applyAlignment="1" applyProtection="1">
      <alignment horizontal="center"/>
      <protection hidden="1"/>
    </xf>
    <xf numFmtId="0" fontId="58" fillId="6" borderId="26" xfId="5" applyFont="1" applyBorder="1" applyAlignment="1">
      <alignment horizontal="center" vertical="center" wrapText="1"/>
    </xf>
    <xf numFmtId="164" fontId="3" fillId="6" borderId="14" xfId="9" applyNumberFormat="1" applyFont="1" applyProtection="1">
      <protection hidden="1"/>
    </xf>
    <xf numFmtId="0" fontId="59" fillId="0" borderId="156" xfId="0" applyFont="1" applyBorder="1" applyAlignment="1">
      <alignment horizontal="center" vertical="center" wrapText="1"/>
    </xf>
    <xf numFmtId="2" fontId="5" fillId="0" borderId="0" xfId="0" applyNumberFormat="1" applyFont="1" applyProtection="1">
      <protection hidden="1"/>
    </xf>
    <xf numFmtId="0" fontId="3" fillId="6" borderId="14" xfId="9" applyNumberFormat="1" applyFont="1" applyProtection="1">
      <protection hidden="1"/>
    </xf>
    <xf numFmtId="1" fontId="59" fillId="0" borderId="156" xfId="0" applyNumberFormat="1" applyFont="1" applyBorder="1" applyAlignment="1">
      <alignment horizontal="center" vertical="center" wrapText="1"/>
    </xf>
    <xf numFmtId="0" fontId="59" fillId="0" borderId="157" xfId="0" applyFont="1" applyBorder="1" applyAlignment="1">
      <alignment horizontal="center" vertical="center" wrapText="1"/>
    </xf>
    <xf numFmtId="173" fontId="3" fillId="6" borderId="24" xfId="9" applyNumberFormat="1" applyFont="1" applyBorder="1" applyProtection="1">
      <protection hidden="1"/>
    </xf>
    <xf numFmtId="1" fontId="5" fillId="0" borderId="0" xfId="0" applyNumberFormat="1" applyFont="1" applyProtection="1">
      <protection hidden="1"/>
    </xf>
    <xf numFmtId="164" fontId="5" fillId="0" borderId="0" xfId="0" applyNumberFormat="1" applyFont="1" applyProtection="1">
      <protection hidden="1"/>
    </xf>
    <xf numFmtId="166" fontId="15" fillId="0" borderId="37" xfId="0" applyNumberFormat="1" applyFont="1" applyBorder="1" applyProtection="1">
      <protection hidden="1"/>
    </xf>
    <xf numFmtId="0" fontId="42" fillId="0" borderId="121" xfId="0" applyFont="1" applyBorder="1" applyAlignment="1" applyProtection="1">
      <alignment horizontal="left"/>
      <protection hidden="1"/>
    </xf>
    <xf numFmtId="166" fontId="15" fillId="0" borderId="0" xfId="0" applyNumberFormat="1" applyFont="1" applyAlignment="1" applyProtection="1">
      <alignment horizontal="left"/>
      <protection hidden="1"/>
    </xf>
    <xf numFmtId="0" fontId="15" fillId="0" borderId="66" xfId="3" applyFont="1" applyBorder="1" applyAlignment="1" applyProtection="1">
      <alignment horizontal="center" vertical="center" wrapText="1"/>
      <protection locked="0" hidden="1"/>
    </xf>
    <xf numFmtId="0" fontId="10" fillId="0" borderId="54" xfId="3" applyFont="1" applyBorder="1" applyAlignment="1" applyProtection="1">
      <alignment horizontal="left" vertical="top" wrapText="1"/>
      <protection locked="0" hidden="1"/>
    </xf>
    <xf numFmtId="0" fontId="15" fillId="0" borderId="66" xfId="3" applyFont="1" applyBorder="1" applyAlignment="1" applyProtection="1">
      <alignment horizontal="center" vertical="center" wrapText="1"/>
      <protection hidden="1"/>
    </xf>
    <xf numFmtId="0" fontId="15" fillId="0" borderId="54" xfId="3" applyFont="1" applyBorder="1" applyAlignment="1" applyProtection="1">
      <alignment vertical="center" wrapText="1"/>
      <protection locked="0" hidden="1"/>
    </xf>
    <xf numFmtId="0" fontId="10" fillId="0" borderId="0" xfId="0" applyFont="1" applyProtection="1">
      <protection hidden="1"/>
    </xf>
    <xf numFmtId="0" fontId="10" fillId="0" borderId="54" xfId="0" applyFont="1" applyBorder="1" applyAlignment="1" applyProtection="1">
      <alignment horizontal="center" vertical="center" wrapText="1"/>
      <protection hidden="1"/>
    </xf>
    <xf numFmtId="0" fontId="15" fillId="0" borderId="52" xfId="0" applyFont="1" applyBorder="1" applyAlignment="1" applyProtection="1">
      <alignment horizontal="center" vertical="center" wrapText="1"/>
      <protection locked="0" hidden="1"/>
    </xf>
    <xf numFmtId="1" fontId="10" fillId="0" borderId="35" xfId="0" applyNumberFormat="1" applyFont="1" applyBorder="1" applyAlignment="1" applyProtection="1">
      <alignment horizontal="left" vertical="center" wrapText="1"/>
      <protection hidden="1"/>
    </xf>
    <xf numFmtId="0" fontId="10" fillId="0" borderId="35" xfId="0" applyFont="1" applyBorder="1" applyAlignment="1" applyProtection="1">
      <alignment horizontal="left" vertical="center"/>
      <protection hidden="1"/>
    </xf>
    <xf numFmtId="3" fontId="10" fillId="0" borderId="35" xfId="0" applyNumberFormat="1" applyFont="1" applyBorder="1" applyAlignment="1" applyProtection="1">
      <alignment horizontal="left" vertical="center"/>
      <protection hidden="1"/>
    </xf>
    <xf numFmtId="0" fontId="15" fillId="0" borderId="70" xfId="0" applyFont="1" applyBorder="1" applyAlignment="1" applyProtection="1">
      <alignment horizontal="center" vertical="center" wrapText="1"/>
      <protection locked="0" hidden="1"/>
    </xf>
    <xf numFmtId="0" fontId="10" fillId="0" borderId="38" xfId="3" applyFont="1" applyBorder="1" applyAlignment="1" applyProtection="1">
      <alignment horizontal="left" vertical="top" wrapText="1"/>
      <protection locked="0" hidden="1"/>
    </xf>
    <xf numFmtId="0" fontId="12" fillId="0" borderId="119" xfId="0" applyFont="1" applyBorder="1" applyAlignment="1" applyProtection="1">
      <alignment horizontal="left" vertical="center" wrapText="1"/>
      <protection hidden="1"/>
    </xf>
    <xf numFmtId="164" fontId="15" fillId="0" borderId="92" xfId="0" applyNumberFormat="1" applyFont="1" applyBorder="1" applyAlignment="1" applyProtection="1">
      <alignment horizontal="left" vertical="center" wrapText="1"/>
      <protection hidden="1"/>
    </xf>
    <xf numFmtId="0" fontId="12" fillId="0" borderId="93" xfId="0" applyFont="1" applyBorder="1" applyAlignment="1" applyProtection="1">
      <alignment horizontal="left" vertical="center" wrapText="1"/>
      <protection hidden="1"/>
    </xf>
    <xf numFmtId="0" fontId="12" fillId="0" borderId="120" xfId="0" applyFont="1" applyBorder="1" applyAlignment="1" applyProtection="1">
      <alignment horizontal="left" vertical="center" wrapText="1"/>
      <protection hidden="1"/>
    </xf>
    <xf numFmtId="164" fontId="15" fillId="0" borderId="71" xfId="0" applyNumberFormat="1" applyFont="1" applyBorder="1" applyAlignment="1" applyProtection="1">
      <alignment horizontal="left" vertical="center" wrapText="1"/>
      <protection hidden="1"/>
    </xf>
    <xf numFmtId="0" fontId="12" fillId="0" borderId="91" xfId="0" applyFont="1" applyBorder="1" applyAlignment="1" applyProtection="1">
      <alignment horizontal="left" vertical="center"/>
      <protection hidden="1"/>
    </xf>
    <xf numFmtId="0" fontId="12" fillId="0" borderId="94" xfId="0" applyFont="1" applyBorder="1" applyAlignment="1" applyProtection="1">
      <alignment vertical="center" wrapText="1"/>
      <protection hidden="1"/>
    </xf>
    <xf numFmtId="164" fontId="15" fillId="0" borderId="95" xfId="0" applyNumberFormat="1" applyFont="1" applyBorder="1" applyAlignment="1" applyProtection="1">
      <alignment horizontal="left" vertical="center" wrapText="1"/>
      <protection hidden="1"/>
    </xf>
    <xf numFmtId="0" fontId="12" fillId="0" borderId="96" xfId="0" applyFont="1" applyBorder="1" applyAlignment="1" applyProtection="1">
      <alignment horizontal="left" vertical="center" wrapText="1"/>
      <protection hidden="1"/>
    </xf>
    <xf numFmtId="0" fontId="7" fillId="0" borderId="54" xfId="3" applyFont="1" applyBorder="1" applyAlignment="1" applyProtection="1">
      <alignment horizontal="left" vertical="top" wrapText="1"/>
      <protection locked="0" hidden="1"/>
    </xf>
    <xf numFmtId="0" fontId="0" fillId="0" borderId="37" xfId="0" applyBorder="1" applyAlignment="1" applyProtection="1">
      <alignment horizontal="center"/>
      <protection hidden="1"/>
    </xf>
    <xf numFmtId="166" fontId="15" fillId="0" borderId="53" xfId="0" applyNumberFormat="1" applyFont="1" applyBorder="1" applyProtection="1">
      <protection hidden="1"/>
    </xf>
    <xf numFmtId="0" fontId="5" fillId="0" borderId="0" xfId="0" applyFont="1" applyAlignment="1" applyProtection="1">
      <alignment horizontal="left" vertical="center"/>
      <protection hidden="1"/>
    </xf>
    <xf numFmtId="0" fontId="15" fillId="0" borderId="69" xfId="3" applyFont="1" applyBorder="1" applyAlignment="1" applyProtection="1">
      <alignment horizontal="center" vertical="center" wrapText="1"/>
      <protection hidden="1"/>
    </xf>
    <xf numFmtId="0" fontId="15" fillId="0" borderId="129" xfId="0" applyFont="1" applyBorder="1" applyAlignment="1" applyProtection="1">
      <alignment horizontal="right" vertical="center" wrapText="1"/>
      <protection hidden="1"/>
    </xf>
    <xf numFmtId="0" fontId="15" fillId="0" borderId="53" xfId="0" applyFont="1" applyBorder="1" applyAlignment="1" applyProtection="1">
      <alignment horizontal="left" vertical="center" wrapText="1"/>
      <protection hidden="1"/>
    </xf>
    <xf numFmtId="0" fontId="15" fillId="0" borderId="0" xfId="0" applyFont="1" applyAlignment="1" applyProtection="1">
      <alignment horizontal="left" vertical="top" wrapText="1"/>
      <protection locked="0" hidden="1"/>
    </xf>
    <xf numFmtId="0" fontId="15" fillId="0" borderId="112" xfId="0" applyFont="1" applyBorder="1" applyAlignment="1" applyProtection="1">
      <alignment horizontal="right" vertical="center" wrapText="1"/>
      <protection hidden="1"/>
    </xf>
    <xf numFmtId="0" fontId="15" fillId="0" borderId="154" xfId="0" applyFont="1" applyBorder="1" applyAlignment="1" applyProtection="1">
      <alignment horizontal="left" vertical="center" wrapText="1"/>
      <protection hidden="1"/>
    </xf>
    <xf numFmtId="0" fontId="17" fillId="13" borderId="35" xfId="0" applyFont="1" applyFill="1" applyBorder="1" applyAlignment="1">
      <alignment horizontal="left" vertical="center" wrapText="1"/>
    </xf>
    <xf numFmtId="0" fontId="26" fillId="13" borderId="52" xfId="0" applyFont="1" applyFill="1" applyBorder="1" applyAlignment="1" applyProtection="1">
      <alignment horizontal="center" vertical="center" wrapText="1"/>
      <protection locked="0"/>
    </xf>
    <xf numFmtId="0" fontId="26" fillId="13" borderId="53" xfId="0" applyFont="1" applyFill="1" applyBorder="1" applyAlignment="1" applyProtection="1">
      <alignment horizontal="center" vertical="center" wrapText="1"/>
      <protection locked="0"/>
    </xf>
    <xf numFmtId="0" fontId="26" fillId="13" borderId="54" xfId="0" applyFont="1" applyFill="1" applyBorder="1" applyAlignment="1" applyProtection="1">
      <alignment horizontal="center" vertical="center" wrapText="1"/>
      <protection locked="0"/>
    </xf>
    <xf numFmtId="0" fontId="0" fillId="0" borderId="35" xfId="0" applyBorder="1" applyAlignment="1" applyProtection="1">
      <alignment vertical="center" wrapText="1"/>
      <protection locked="0"/>
    </xf>
    <xf numFmtId="0" fontId="0" fillId="0" borderId="71" xfId="3" applyFont="1" applyBorder="1" applyAlignment="1" applyProtection="1">
      <alignment horizontal="left" vertical="center" wrapText="1"/>
      <protection locked="0"/>
    </xf>
    <xf numFmtId="0" fontId="1" fillId="0" borderId="71" xfId="3" applyFont="1" applyBorder="1" applyAlignment="1" applyProtection="1">
      <alignment horizontal="left" vertical="center" wrapText="1"/>
      <protection locked="0"/>
    </xf>
    <xf numFmtId="0" fontId="3" fillId="3" borderId="77" xfId="4" applyFont="1" applyBorder="1" applyAlignment="1" applyProtection="1">
      <alignment horizontal="left" vertical="center" wrapText="1"/>
    </xf>
    <xf numFmtId="0" fontId="3" fillId="3" borderId="74" xfId="4" applyFont="1" applyBorder="1" applyAlignment="1" applyProtection="1">
      <alignment horizontal="left" vertical="center" wrapText="1"/>
    </xf>
    <xf numFmtId="0" fontId="16" fillId="6" borderId="14" xfId="9" applyAlignment="1" applyProtection="1">
      <alignment horizontal="center" vertical="center" wrapText="1"/>
      <protection locked="0"/>
    </xf>
    <xf numFmtId="0" fontId="39" fillId="4" borderId="52" xfId="2" applyFont="1" applyFill="1" applyBorder="1" applyAlignment="1" applyProtection="1">
      <alignment horizontal="left" vertical="center" wrapText="1"/>
    </xf>
    <xf numFmtId="0" fontId="4" fillId="4" borderId="53" xfId="2" applyFont="1" applyFill="1" applyBorder="1" applyAlignment="1" applyProtection="1">
      <alignment horizontal="left" vertical="center" wrapText="1"/>
    </xf>
    <xf numFmtId="0" fontId="4" fillId="0" borderId="52" xfId="0" applyFont="1" applyBorder="1" applyAlignment="1">
      <alignment horizontal="left" vertical="center"/>
    </xf>
    <xf numFmtId="0" fontId="4" fillId="0" borderId="54" xfId="0" applyFont="1" applyBorder="1" applyAlignment="1">
      <alignment horizontal="left" vertical="center"/>
    </xf>
    <xf numFmtId="0" fontId="39" fillId="4" borderId="39" xfId="2" applyFont="1" applyFill="1" applyBorder="1" applyAlignment="1" applyProtection="1">
      <alignment horizontal="left" vertical="center" wrapText="1"/>
    </xf>
    <xf numFmtId="0" fontId="4" fillId="4" borderId="0" xfId="2" applyFont="1" applyFill="1" applyBorder="1" applyAlignment="1" applyProtection="1">
      <alignment horizontal="left" vertical="center" wrapText="1"/>
    </xf>
    <xf numFmtId="0" fontId="4" fillId="4" borderId="50" xfId="2" applyFont="1" applyFill="1" applyBorder="1" applyAlignment="1" applyProtection="1">
      <alignment horizontal="left" vertical="center" wrapText="1"/>
    </xf>
    <xf numFmtId="0" fontId="4" fillId="4" borderId="67" xfId="2" applyFont="1" applyFill="1" applyBorder="1" applyAlignment="1" applyProtection="1">
      <alignment horizontal="left" vertical="center" wrapText="1"/>
    </xf>
    <xf numFmtId="1" fontId="4" fillId="12" borderId="88" xfId="12" applyNumberFormat="1" applyFont="1" applyAlignment="1" applyProtection="1">
      <alignment horizontal="center" vertical="center" wrapText="1"/>
    </xf>
    <xf numFmtId="0" fontId="4" fillId="12" borderId="88" xfId="12" applyFont="1" applyAlignment="1" applyProtection="1">
      <alignment horizontal="center" vertical="center" wrapText="1"/>
    </xf>
    <xf numFmtId="0" fontId="3" fillId="8" borderId="77" xfId="7" applyFont="1" applyBorder="1" applyAlignment="1" applyProtection="1">
      <alignment horizontal="left" vertical="center" wrapText="1"/>
    </xf>
    <xf numFmtId="0" fontId="3" fillId="8" borderId="74" xfId="7" applyFont="1" applyBorder="1" applyAlignment="1" applyProtection="1">
      <alignment horizontal="left" vertical="center" wrapText="1"/>
    </xf>
    <xf numFmtId="0" fontId="4" fillId="13" borderId="36" xfId="2" applyFont="1" applyFill="1" applyBorder="1" applyAlignment="1" applyProtection="1">
      <alignment horizontal="left" vertical="center" wrapText="1"/>
    </xf>
    <xf numFmtId="0" fontId="4" fillId="13" borderId="37" xfId="2" applyFont="1" applyFill="1" applyBorder="1" applyAlignment="1" applyProtection="1">
      <alignment horizontal="left" vertical="center" wrapText="1"/>
    </xf>
    <xf numFmtId="0" fontId="26" fillId="0" borderId="52" xfId="0" applyFont="1" applyBorder="1" applyAlignment="1" applyProtection="1">
      <alignment horizontal="left" vertical="center" wrapText="1"/>
      <protection locked="0"/>
    </xf>
    <xf numFmtId="0" fontId="26" fillId="0" borderId="53" xfId="0" applyFont="1" applyBorder="1" applyAlignment="1" applyProtection="1">
      <alignment horizontal="left" vertical="center" wrapText="1"/>
      <protection locked="0"/>
    </xf>
    <xf numFmtId="0" fontId="26" fillId="0" borderId="54" xfId="0" applyFont="1" applyBorder="1" applyAlignment="1" applyProtection="1">
      <alignment horizontal="left" vertical="center" wrapText="1"/>
      <protection locked="0"/>
    </xf>
    <xf numFmtId="0" fontId="19" fillId="0" borderId="0" xfId="0" applyFont="1" applyAlignment="1">
      <alignment horizontal="center" vertical="center" wrapText="1"/>
    </xf>
    <xf numFmtId="0" fontId="4" fillId="0" borderId="0" xfId="0" applyFont="1" applyAlignment="1">
      <alignment horizontal="right" vertical="top"/>
    </xf>
    <xf numFmtId="0" fontId="4" fillId="5" borderId="39" xfId="1" applyFont="1" applyFill="1" applyBorder="1" applyAlignment="1" applyProtection="1">
      <alignment horizontal="left"/>
    </xf>
    <xf numFmtId="0" fontId="4" fillId="5" borderId="0" xfId="1" applyFont="1" applyFill="1" applyBorder="1" applyAlignment="1" applyProtection="1">
      <alignment horizontal="left"/>
    </xf>
    <xf numFmtId="0" fontId="4" fillId="5" borderId="41" xfId="1" applyFont="1" applyFill="1" applyBorder="1" applyAlignment="1" applyProtection="1">
      <alignment horizontal="left"/>
    </xf>
    <xf numFmtId="0" fontId="4" fillId="0" borderId="35" xfId="0" applyFont="1" applyBorder="1" applyAlignment="1">
      <alignment horizontal="left" vertical="center"/>
    </xf>
    <xf numFmtId="0" fontId="0" fillId="0" borderId="52"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0" fillId="0" borderId="52" xfId="3" applyFont="1" applyBorder="1" applyAlignment="1" applyProtection="1">
      <alignment horizontal="left" vertical="center" wrapText="1"/>
      <protection locked="0"/>
    </xf>
    <xf numFmtId="0" fontId="0" fillId="0" borderId="53" xfId="3" applyFont="1" applyBorder="1" applyAlignment="1" applyProtection="1">
      <alignment horizontal="left" vertical="center" wrapText="1"/>
      <protection locked="0"/>
    </xf>
    <xf numFmtId="0" fontId="0" fillId="0" borderId="54" xfId="3" applyFont="1" applyBorder="1" applyAlignment="1" applyProtection="1">
      <alignment horizontal="left" vertical="center" wrapText="1"/>
      <protection locked="0"/>
    </xf>
    <xf numFmtId="0" fontId="4" fillId="0" borderId="36" xfId="3" applyBorder="1" applyAlignment="1" applyProtection="1">
      <alignment horizontal="left" vertical="center" wrapText="1"/>
    </xf>
    <xf numFmtId="0" fontId="4" fillId="0" borderId="37" xfId="3" applyBorder="1" applyAlignment="1" applyProtection="1">
      <alignment horizontal="left" vertical="center" wrapText="1"/>
    </xf>
    <xf numFmtId="0" fontId="4" fillId="0" borderId="38" xfId="3" applyBorder="1" applyAlignment="1" applyProtection="1">
      <alignment horizontal="left" vertical="center" wrapText="1"/>
    </xf>
    <xf numFmtId="0" fontId="4" fillId="0" borderId="50" xfId="3" applyBorder="1" applyAlignment="1" applyProtection="1">
      <alignment horizontal="left" vertical="center" wrapText="1"/>
    </xf>
    <xf numFmtId="0" fontId="4" fillId="0" borderId="67" xfId="3" applyBorder="1" applyAlignment="1" applyProtection="1">
      <alignment horizontal="left" vertical="center" wrapText="1"/>
    </xf>
    <xf numFmtId="0" fontId="4" fillId="0" borderId="51" xfId="3" applyBorder="1" applyAlignment="1" applyProtection="1">
      <alignment horizontal="left" vertical="center" wrapText="1"/>
    </xf>
    <xf numFmtId="0" fontId="4" fillId="0" borderId="36" xfId="3" applyBorder="1" applyAlignment="1" applyProtection="1">
      <alignment horizontal="left" vertical="center" wrapText="1"/>
      <protection locked="0"/>
    </xf>
    <xf numFmtId="0" fontId="4" fillId="0" borderId="37" xfId="3" applyBorder="1" applyAlignment="1" applyProtection="1">
      <alignment horizontal="left" vertical="center" wrapText="1"/>
      <protection locked="0"/>
    </xf>
    <xf numFmtId="0" fontId="4" fillId="0" borderId="50" xfId="3" applyBorder="1" applyAlignment="1" applyProtection="1">
      <alignment horizontal="left" vertical="center" wrapText="1"/>
      <protection locked="0"/>
    </xf>
    <xf numFmtId="0" fontId="4" fillId="0" borderId="67" xfId="3" applyBorder="1" applyAlignment="1" applyProtection="1">
      <alignment horizontal="left" vertical="center" wrapText="1"/>
      <protection locked="0"/>
    </xf>
    <xf numFmtId="0" fontId="4" fillId="0" borderId="51" xfId="3" applyBorder="1" applyAlignment="1" applyProtection="1">
      <alignment horizontal="left" vertical="center" wrapText="1"/>
      <protection locked="0"/>
    </xf>
    <xf numFmtId="0" fontId="4" fillId="0" borderId="38" xfId="3" applyBorder="1" applyAlignment="1" applyProtection="1">
      <alignment horizontal="left" vertical="center" wrapText="1"/>
      <protection locked="0"/>
    </xf>
    <xf numFmtId="0" fontId="4" fillId="0" borderId="39" xfId="3" applyBorder="1" applyAlignment="1" applyProtection="1">
      <alignment horizontal="left" vertical="center" wrapText="1"/>
      <protection locked="0"/>
    </xf>
    <xf numFmtId="0" fontId="4" fillId="0" borderId="0" xfId="3" applyBorder="1" applyAlignment="1" applyProtection="1">
      <alignment horizontal="left" vertical="center" wrapText="1"/>
      <protection locked="0"/>
    </xf>
    <xf numFmtId="0" fontId="4" fillId="0" borderId="41" xfId="3" applyBorder="1" applyAlignment="1" applyProtection="1">
      <alignment horizontal="left" vertical="center" wrapText="1"/>
      <protection locked="0"/>
    </xf>
    <xf numFmtId="0" fontId="4" fillId="5" borderId="39" xfId="1" applyFont="1" applyFill="1" applyBorder="1" applyAlignment="1" applyProtection="1">
      <alignment horizontal="left" wrapText="1"/>
    </xf>
    <xf numFmtId="0" fontId="4" fillId="5" borderId="0" xfId="1" applyFont="1" applyFill="1" applyBorder="1" applyAlignment="1" applyProtection="1">
      <alignment horizontal="left" wrapText="1"/>
    </xf>
    <xf numFmtId="0" fontId="4" fillId="5" borderId="41" xfId="1" applyFont="1" applyFill="1" applyBorder="1" applyAlignment="1" applyProtection="1">
      <alignment horizontal="left" wrapText="1"/>
    </xf>
    <xf numFmtId="0" fontId="4" fillId="4" borderId="36" xfId="2" applyFont="1" applyFill="1" applyBorder="1" applyAlignment="1" applyProtection="1">
      <alignment horizontal="left" vertical="center" wrapText="1"/>
    </xf>
    <xf numFmtId="0" fontId="4" fillId="4" borderId="37" xfId="2" applyFont="1" applyFill="1" applyBorder="1" applyAlignment="1" applyProtection="1">
      <alignment horizontal="left" vertical="center" wrapText="1"/>
    </xf>
    <xf numFmtId="0" fontId="4" fillId="0" borderId="35" xfId="0" applyFont="1" applyBorder="1" applyAlignment="1">
      <alignment horizontal="left" vertical="center" wrapText="1"/>
    </xf>
    <xf numFmtId="0" fontId="4" fillId="13" borderId="35" xfId="0" applyFont="1" applyFill="1" applyBorder="1" applyAlignment="1">
      <alignment horizontal="left" vertical="center" wrapText="1"/>
    </xf>
    <xf numFmtId="0" fontId="4" fillId="0" borderId="52" xfId="0" applyFont="1" applyBorder="1" applyAlignment="1">
      <alignment horizontal="left" vertical="center" wrapText="1"/>
    </xf>
    <xf numFmtId="0" fontId="4" fillId="0" borderId="54" xfId="0" applyFont="1" applyBorder="1" applyAlignment="1">
      <alignment horizontal="left" vertical="center" wrapText="1"/>
    </xf>
    <xf numFmtId="0" fontId="4" fillId="0" borderId="35" xfId="3" applyBorder="1" applyAlignment="1" applyProtection="1">
      <alignment horizontal="left" vertical="center" wrapText="1"/>
    </xf>
    <xf numFmtId="0" fontId="10" fillId="0" borderId="0" xfId="0" applyFont="1" applyAlignment="1" applyProtection="1">
      <alignment horizontal="left" vertical="center" wrapText="1"/>
      <protection hidden="1"/>
    </xf>
    <xf numFmtId="0" fontId="10" fillId="0" borderId="41" xfId="0" applyFont="1" applyBorder="1" applyAlignment="1" applyProtection="1">
      <alignment horizontal="left" vertical="center" wrapText="1"/>
      <protection hidden="1"/>
    </xf>
    <xf numFmtId="0" fontId="39" fillId="0" borderId="52" xfId="0" applyFont="1" applyBorder="1" applyAlignment="1">
      <alignment horizontal="left" vertical="center" wrapText="1"/>
    </xf>
    <xf numFmtId="0" fontId="4" fillId="0" borderId="53" xfId="0" applyFont="1" applyBorder="1" applyAlignment="1">
      <alignment horizontal="left" vertical="center" wrapText="1"/>
    </xf>
    <xf numFmtId="0" fontId="26" fillId="0" borderId="35" xfId="0" applyFont="1" applyBorder="1" applyAlignment="1" applyProtection="1">
      <alignment horizontal="left" vertical="center" wrapText="1"/>
      <protection locked="0"/>
    </xf>
    <xf numFmtId="0" fontId="4" fillId="0" borderId="53" xfId="0" applyFont="1" applyBorder="1" applyAlignment="1">
      <alignment horizontal="left" vertical="center"/>
    </xf>
    <xf numFmtId="0" fontId="0" fillId="0" borderId="36"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0" fillId="0" borderId="67" xfId="0" applyBorder="1" applyAlignment="1" applyProtection="1">
      <alignment horizontal="left" vertical="top" wrapText="1"/>
      <protection locked="0"/>
    </xf>
    <xf numFmtId="0" fontId="0" fillId="0" borderId="51" xfId="0" applyBorder="1" applyAlignment="1" applyProtection="1">
      <alignment horizontal="left" vertical="top" wrapText="1"/>
      <protection locked="0"/>
    </xf>
    <xf numFmtId="0" fontId="1" fillId="0" borderId="70" xfId="3" applyFont="1" applyBorder="1" applyAlignment="1" applyProtection="1">
      <alignment horizontal="left" vertical="center" wrapText="1"/>
    </xf>
    <xf numFmtId="0" fontId="1" fillId="0" borderId="68" xfId="3" applyFont="1" applyBorder="1" applyAlignment="1" applyProtection="1">
      <alignment horizontal="left" vertical="center" wrapText="1"/>
    </xf>
    <xf numFmtId="169" fontId="4" fillId="0" borderId="36" xfId="3" applyNumberFormat="1" applyBorder="1" applyAlignment="1" applyProtection="1">
      <alignment horizontal="left" vertical="center" wrapText="1"/>
      <protection locked="0"/>
    </xf>
    <xf numFmtId="169" fontId="4" fillId="0" borderId="38" xfId="3" applyNumberFormat="1" applyBorder="1" applyAlignment="1" applyProtection="1">
      <alignment horizontal="left" vertical="center" wrapText="1"/>
      <protection locked="0"/>
    </xf>
    <xf numFmtId="169" fontId="4" fillId="0" borderId="50" xfId="3" applyNumberFormat="1" applyBorder="1" applyAlignment="1" applyProtection="1">
      <alignment horizontal="left" vertical="center" wrapText="1"/>
      <protection locked="0"/>
    </xf>
    <xf numFmtId="169" fontId="4" fillId="0" borderId="51" xfId="3" applyNumberFormat="1" applyBorder="1" applyAlignment="1" applyProtection="1">
      <alignment horizontal="left" vertical="center" wrapText="1"/>
      <protection locked="0"/>
    </xf>
    <xf numFmtId="0" fontId="4" fillId="0" borderId="35" xfId="0" applyFont="1" applyBorder="1" applyAlignment="1" applyProtection="1">
      <alignment horizontal="left" vertical="center"/>
      <protection locked="0"/>
    </xf>
    <xf numFmtId="0" fontId="0" fillId="0" borderId="35" xfId="0" applyBorder="1" applyAlignment="1" applyProtection="1">
      <alignment horizontal="left" vertical="center"/>
      <protection locked="0"/>
    </xf>
    <xf numFmtId="169" fontId="0" fillId="0" borderId="35" xfId="0" applyNumberFormat="1" applyBorder="1" applyAlignment="1" applyProtection="1">
      <alignment horizontal="left" vertical="center"/>
      <protection locked="0"/>
    </xf>
    <xf numFmtId="0" fontId="10" fillId="0" borderId="36" xfId="0" applyFont="1" applyBorder="1" applyAlignment="1" applyProtection="1">
      <alignment horizontal="left" vertical="top" wrapText="1"/>
      <protection locked="0"/>
    </xf>
    <xf numFmtId="0" fontId="10" fillId="0" borderId="37" xfId="0" applyFont="1" applyBorder="1" applyAlignment="1" applyProtection="1">
      <alignment horizontal="left" vertical="top" wrapText="1"/>
      <protection locked="0"/>
    </xf>
    <xf numFmtId="0" fontId="10" fillId="0" borderId="38" xfId="0" applyFont="1" applyBorder="1" applyAlignment="1" applyProtection="1">
      <alignment horizontal="left" vertical="top" wrapText="1"/>
      <protection locked="0"/>
    </xf>
    <xf numFmtId="0" fontId="10" fillId="0" borderId="52" xfId="0" applyFont="1" applyBorder="1" applyAlignment="1" applyProtection="1">
      <alignment horizontal="left" vertical="center" wrapText="1"/>
      <protection locked="0"/>
    </xf>
    <xf numFmtId="0" fontId="10" fillId="0" borderId="53" xfId="0" applyFont="1" applyBorder="1" applyAlignment="1" applyProtection="1">
      <alignment horizontal="left" vertical="center" wrapText="1"/>
      <protection locked="0"/>
    </xf>
    <xf numFmtId="0" fontId="10" fillId="0" borderId="54" xfId="0" applyFont="1" applyBorder="1" applyAlignment="1" applyProtection="1">
      <alignment horizontal="left" vertical="center" wrapText="1"/>
      <protection locked="0"/>
    </xf>
    <xf numFmtId="169" fontId="4" fillId="0" borderId="52" xfId="0" applyNumberFormat="1" applyFont="1" applyBorder="1" applyAlignment="1" applyProtection="1">
      <alignment horizontal="center" vertical="center" wrapText="1"/>
      <protection locked="0"/>
    </xf>
    <xf numFmtId="169" fontId="4" fillId="0" borderId="54" xfId="0" applyNumberFormat="1" applyFont="1" applyBorder="1" applyAlignment="1" applyProtection="1">
      <alignment horizontal="center" vertical="center" wrapText="1"/>
      <protection locked="0"/>
    </xf>
    <xf numFmtId="169" fontId="0" fillId="0" borderId="35" xfId="0" applyNumberFormat="1" applyBorder="1" applyAlignment="1" applyProtection="1">
      <alignment horizontal="center" vertical="top" wrapText="1"/>
      <protection locked="0"/>
    </xf>
    <xf numFmtId="0" fontId="4" fillId="0" borderId="70" xfId="0" applyFont="1" applyBorder="1" applyAlignment="1">
      <alignment horizontal="left" wrapText="1"/>
    </xf>
    <xf numFmtId="0" fontId="4" fillId="0" borderId="68" xfId="0" applyFont="1" applyBorder="1" applyAlignment="1">
      <alignment horizontal="left" wrapText="1"/>
    </xf>
    <xf numFmtId="0" fontId="35" fillId="0" borderId="70" xfId="11" applyFont="1" applyBorder="1" applyAlignment="1" applyProtection="1">
      <alignment horizontal="center" vertical="center" wrapText="1"/>
      <protection locked="0"/>
    </xf>
    <xf numFmtId="0" fontId="35" fillId="0" borderId="68" xfId="11" applyFont="1" applyBorder="1" applyAlignment="1" applyProtection="1">
      <alignment horizontal="center" vertical="center" wrapText="1"/>
      <protection locked="0"/>
    </xf>
    <xf numFmtId="0" fontId="4" fillId="0" borderId="36"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1" xfId="0" applyFon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0" fillId="0" borderId="70" xfId="0"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4" fillId="0" borderId="39" xfId="0" applyFont="1" applyBorder="1" applyAlignment="1">
      <alignment horizontal="left" vertical="top" wrapText="1"/>
    </xf>
    <xf numFmtId="0" fontId="4" fillId="0" borderId="41" xfId="0" applyFont="1" applyBorder="1" applyAlignment="1">
      <alignment horizontal="left" vertical="top" wrapText="1"/>
    </xf>
    <xf numFmtId="0" fontId="4" fillId="0" borderId="50" xfId="0" applyFont="1" applyBorder="1" applyAlignment="1">
      <alignment horizontal="left" vertical="top" wrapText="1"/>
    </xf>
    <xf numFmtId="0" fontId="4" fillId="0" borderId="51" xfId="0" applyFont="1" applyBorder="1" applyAlignment="1">
      <alignment horizontal="left" vertical="top" wrapText="1"/>
    </xf>
    <xf numFmtId="0" fontId="0" fillId="0" borderId="52" xfId="0" applyBorder="1" applyAlignment="1" applyProtection="1">
      <alignment horizontal="left" vertical="top" wrapText="1"/>
      <protection locked="0"/>
    </xf>
    <xf numFmtId="0" fontId="0" fillId="0" borderId="53"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10" fillId="0" borderId="52" xfId="3" applyFont="1" applyBorder="1" applyAlignment="1" applyProtection="1">
      <alignment horizontal="left" vertical="center" wrapText="1"/>
      <protection locked="0"/>
    </xf>
    <xf numFmtId="0" fontId="10" fillId="0" borderId="53" xfId="3" applyFont="1" applyBorder="1" applyAlignment="1" applyProtection="1">
      <alignment horizontal="left" vertical="center" wrapText="1"/>
      <protection locked="0"/>
    </xf>
    <xf numFmtId="0" fontId="10" fillId="0" borderId="54" xfId="3" applyFont="1" applyBorder="1" applyAlignment="1" applyProtection="1">
      <alignment horizontal="left" vertical="center" wrapText="1"/>
      <protection locked="0"/>
    </xf>
    <xf numFmtId="0" fontId="10" fillId="0" borderId="0" xfId="0" applyFont="1" applyAlignment="1">
      <alignment horizontal="left" vertical="center" wrapText="1"/>
    </xf>
    <xf numFmtId="0" fontId="39" fillId="0" borderId="35" xfId="0" applyFont="1" applyBorder="1" applyAlignment="1">
      <alignment horizontal="left" vertical="center" wrapText="1"/>
    </xf>
    <xf numFmtId="0" fontId="26" fillId="0" borderId="52" xfId="0" applyFont="1" applyBorder="1" applyAlignment="1" applyProtection="1">
      <alignment horizontal="center" vertical="center" wrapText="1"/>
      <protection locked="0"/>
    </xf>
    <xf numFmtId="0" fontId="26" fillId="0" borderId="53" xfId="0" applyFont="1" applyBorder="1" applyAlignment="1" applyProtection="1">
      <alignment horizontal="center" vertical="center" wrapText="1"/>
      <protection locked="0"/>
    </xf>
    <xf numFmtId="0" fontId="26" fillId="0" borderId="54" xfId="0" applyFont="1" applyBorder="1" applyAlignment="1" applyProtection="1">
      <alignment horizontal="center" vertical="center" wrapText="1"/>
      <protection locked="0"/>
    </xf>
    <xf numFmtId="0" fontId="19" fillId="0" borderId="165" xfId="0" applyFont="1" applyBorder="1" applyAlignment="1">
      <alignment horizontal="center" vertical="center" wrapText="1"/>
    </xf>
    <xf numFmtId="0" fontId="19" fillId="0" borderId="164" xfId="0" applyFont="1" applyBorder="1" applyAlignment="1">
      <alignment horizontal="center" vertical="center" wrapText="1"/>
    </xf>
    <xf numFmtId="0" fontId="19" fillId="0" borderId="166" xfId="0" applyFont="1" applyBorder="1" applyAlignment="1">
      <alignment horizontal="center" vertical="center" wrapText="1"/>
    </xf>
    <xf numFmtId="0" fontId="4" fillId="0" borderId="159" xfId="0" applyFont="1" applyBorder="1" applyAlignment="1">
      <alignment horizontal="right" vertical="top"/>
    </xf>
    <xf numFmtId="0" fontId="3" fillId="18" borderId="140" xfId="13" applyFont="1" applyBorder="1" applyAlignment="1" applyProtection="1">
      <alignment horizontal="center"/>
    </xf>
    <xf numFmtId="0" fontId="3" fillId="18" borderId="141" xfId="13" applyFont="1" applyBorder="1" applyAlignment="1" applyProtection="1">
      <alignment horizontal="center"/>
    </xf>
    <xf numFmtId="0" fontId="3" fillId="18" borderId="143" xfId="13" applyFont="1" applyBorder="1" applyAlignment="1" applyProtection="1">
      <alignment horizontal="center"/>
    </xf>
    <xf numFmtId="0" fontId="19" fillId="0" borderId="163"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132" xfId="0" applyFont="1" applyBorder="1" applyAlignment="1">
      <alignment horizontal="center" vertical="center" wrapText="1"/>
    </xf>
    <xf numFmtId="0" fontId="19" fillId="0" borderId="134" xfId="0" applyFont="1" applyBorder="1" applyAlignment="1">
      <alignment horizontal="center" vertical="center" wrapText="1"/>
    </xf>
    <xf numFmtId="0" fontId="19" fillId="0" borderId="135" xfId="0" applyFont="1" applyBorder="1" applyAlignment="1">
      <alignment horizontal="center" vertical="center" wrapText="1"/>
    </xf>
    <xf numFmtId="0" fontId="19" fillId="0" borderId="131" xfId="0" applyFont="1" applyBorder="1" applyAlignment="1">
      <alignment horizontal="center" vertical="center" wrapText="1"/>
    </xf>
    <xf numFmtId="0" fontId="19" fillId="0" borderId="133" xfId="0" applyFont="1" applyBorder="1" applyAlignment="1">
      <alignment horizontal="center" vertical="center" wrapText="1"/>
    </xf>
    <xf numFmtId="0" fontId="4" fillId="5" borderId="140" xfId="1" applyFont="1" applyFill="1" applyBorder="1" applyAlignment="1" applyProtection="1">
      <alignment horizontal="center" wrapText="1"/>
    </xf>
    <xf numFmtId="0" fontId="4" fillId="5" borderId="141" xfId="1" applyFont="1" applyFill="1" applyBorder="1" applyAlignment="1" applyProtection="1">
      <alignment horizontal="center" wrapText="1"/>
    </xf>
    <xf numFmtId="0" fontId="4" fillId="5" borderId="143" xfId="1" applyFont="1" applyFill="1" applyBorder="1" applyAlignment="1" applyProtection="1">
      <alignment horizontal="center" wrapText="1"/>
    </xf>
    <xf numFmtId="0" fontId="19" fillId="0" borderId="68" xfId="0" applyFont="1" applyBorder="1" applyAlignment="1">
      <alignment horizontal="center" vertical="center" wrapText="1"/>
    </xf>
    <xf numFmtId="0" fontId="19" fillId="0" borderId="137"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158" xfId="0" applyFont="1" applyBorder="1" applyAlignment="1">
      <alignment horizontal="center" vertical="center" wrapText="1"/>
    </xf>
    <xf numFmtId="0" fontId="19" fillId="0" borderId="159" xfId="0" applyFont="1" applyBorder="1" applyAlignment="1">
      <alignment horizontal="center" vertical="center" wrapText="1"/>
    </xf>
    <xf numFmtId="0" fontId="4" fillId="5" borderId="138" xfId="1" applyFont="1" applyFill="1" applyBorder="1" applyAlignment="1" applyProtection="1">
      <alignment horizontal="center" wrapText="1"/>
    </xf>
    <xf numFmtId="0" fontId="4" fillId="5" borderId="168" xfId="1" applyFont="1" applyFill="1" applyBorder="1" applyAlignment="1" applyProtection="1">
      <alignment horizontal="center" wrapText="1"/>
    </xf>
    <xf numFmtId="0" fontId="4" fillId="5" borderId="140" xfId="1" applyFont="1" applyFill="1" applyBorder="1" applyAlignment="1" applyProtection="1">
      <alignment horizontal="center" vertical="center" wrapText="1"/>
    </xf>
    <xf numFmtId="0" fontId="4" fillId="5" borderId="141" xfId="1" applyFont="1" applyFill="1" applyBorder="1" applyAlignment="1" applyProtection="1">
      <alignment horizontal="center" vertical="center" wrapText="1"/>
    </xf>
    <xf numFmtId="0" fontId="4" fillId="5" borderId="143" xfId="1" applyFont="1" applyFill="1" applyBorder="1" applyAlignment="1" applyProtection="1">
      <alignment horizontal="center" vertical="center" wrapText="1"/>
    </xf>
    <xf numFmtId="0" fontId="19" fillId="0" borderId="160" xfId="0" applyFont="1" applyBorder="1" applyAlignment="1">
      <alignment horizontal="center" vertical="center" wrapText="1"/>
    </xf>
    <xf numFmtId="0" fontId="19" fillId="0" borderId="161" xfId="0" applyFont="1" applyBorder="1" applyAlignment="1">
      <alignment horizontal="center" vertical="center" wrapText="1"/>
    </xf>
    <xf numFmtId="0" fontId="19" fillId="0" borderId="136" xfId="0" applyFont="1" applyBorder="1" applyAlignment="1">
      <alignment horizontal="center" vertical="center" wrapText="1"/>
    </xf>
    <xf numFmtId="0" fontId="4" fillId="5" borderId="139" xfId="1" applyFont="1" applyFill="1" applyBorder="1" applyAlignment="1" applyProtection="1">
      <alignment horizontal="center" wrapText="1"/>
    </xf>
    <xf numFmtId="0" fontId="4" fillId="5" borderId="142" xfId="1" applyFont="1" applyFill="1" applyBorder="1" applyAlignment="1" applyProtection="1">
      <alignment horizontal="center" wrapText="1"/>
    </xf>
    <xf numFmtId="0" fontId="10" fillId="0" borderId="35" xfId="0" applyFont="1" applyBorder="1" applyAlignment="1">
      <alignment horizontal="center" vertical="top" wrapText="1"/>
    </xf>
    <xf numFmtId="0" fontId="4" fillId="6" borderId="15" xfId="5" applyFont="1" applyBorder="1" applyAlignment="1">
      <alignment horizontal="left" vertical="center"/>
    </xf>
    <xf numFmtId="0" fontId="4" fillId="5" borderId="39" xfId="1" applyFont="1" applyFill="1" applyBorder="1" applyAlignment="1">
      <alignment horizontal="left"/>
    </xf>
    <xf numFmtId="0" fontId="4" fillId="5" borderId="0" xfId="1" applyFont="1" applyFill="1" applyBorder="1" applyAlignment="1">
      <alignment horizontal="left"/>
    </xf>
    <xf numFmtId="0" fontId="4" fillId="5" borderId="41" xfId="1" applyFont="1" applyFill="1" applyBorder="1" applyAlignment="1">
      <alignment horizontal="left"/>
    </xf>
    <xf numFmtId="0" fontId="4" fillId="6" borderId="11" xfId="5" applyFont="1" applyBorder="1" applyAlignment="1">
      <alignment horizontal="left" vertical="center"/>
    </xf>
    <xf numFmtId="0" fontId="4" fillId="6" borderId="12" xfId="5" applyFont="1" applyBorder="1" applyAlignment="1">
      <alignment horizontal="left" vertical="center"/>
    </xf>
    <xf numFmtId="0" fontId="10" fillId="0" borderId="70" xfId="0" applyFont="1" applyBorder="1" applyAlignment="1">
      <alignment horizontal="center" vertical="top" wrapText="1"/>
    </xf>
    <xf numFmtId="0" fontId="10" fillId="0" borderId="72" xfId="0" applyFont="1" applyBorder="1" applyAlignment="1">
      <alignment horizontal="center" vertical="top" wrapText="1"/>
    </xf>
    <xf numFmtId="0" fontId="10" fillId="0" borderId="68" xfId="0" applyFont="1" applyBorder="1" applyAlignment="1">
      <alignment horizontal="center" vertical="top" wrapText="1"/>
    </xf>
    <xf numFmtId="0" fontId="0" fillId="0" borderId="0" xfId="0" applyAlignment="1">
      <alignment horizontal="right" vertical="top"/>
    </xf>
    <xf numFmtId="0" fontId="0" fillId="0" borderId="35" xfId="0" applyBorder="1" applyAlignment="1">
      <alignment horizontal="left" vertical="center" wrapText="1"/>
    </xf>
    <xf numFmtId="0" fontId="27" fillId="0" borderId="35" xfId="0" applyFont="1" applyBorder="1" applyAlignment="1">
      <alignment horizontal="left" vertical="center" wrapText="1"/>
    </xf>
    <xf numFmtId="0" fontId="12" fillId="6" borderId="15" xfId="5" applyFont="1" applyBorder="1" applyAlignment="1">
      <alignment horizontal="center" vertical="center" wrapText="1"/>
    </xf>
    <xf numFmtId="0" fontId="12" fillId="6" borderId="18" xfId="5" applyFont="1" applyBorder="1" applyAlignment="1">
      <alignment horizontal="center" vertical="center" wrapText="1"/>
    </xf>
    <xf numFmtId="0" fontId="4" fillId="6" borderId="123" xfId="5" applyFont="1" applyBorder="1" applyAlignment="1">
      <alignment horizontal="left" vertical="center" wrapText="1"/>
    </xf>
    <xf numFmtId="0" fontId="4" fillId="6" borderId="27" xfId="5" applyFont="1" applyBorder="1" applyAlignment="1">
      <alignment horizontal="left" vertical="center" wrapText="1"/>
    </xf>
    <xf numFmtId="0" fontId="4" fillId="6" borderId="39" xfId="5" applyFont="1" applyBorder="1" applyAlignment="1">
      <alignment horizontal="left" vertical="center" wrapText="1"/>
    </xf>
    <xf numFmtId="0" fontId="4" fillId="6" borderId="29" xfId="5" applyFont="1" applyBorder="1" applyAlignment="1">
      <alignment horizontal="left" vertical="center" wrapText="1"/>
    </xf>
    <xf numFmtId="0" fontId="4" fillId="6" borderId="124" xfId="5" applyFont="1" applyBorder="1" applyAlignment="1">
      <alignment horizontal="left" vertical="center" wrapText="1"/>
    </xf>
    <xf numFmtId="0" fontId="4" fillId="6" borderId="34" xfId="5" applyFont="1" applyBorder="1" applyAlignment="1">
      <alignment horizontal="left" vertical="center" wrapText="1"/>
    </xf>
    <xf numFmtId="0" fontId="0" fillId="13" borderId="21" xfId="0" applyFill="1" applyBorder="1" applyAlignment="1" applyProtection="1">
      <alignment horizontal="left" vertical="top" wrapText="1"/>
      <protection locked="0"/>
    </xf>
    <xf numFmtId="0" fontId="0" fillId="13" borderId="17" xfId="0" applyFill="1" applyBorder="1" applyAlignment="1" applyProtection="1">
      <alignment horizontal="left" vertical="top" wrapText="1"/>
      <protection locked="0"/>
    </xf>
    <xf numFmtId="0" fontId="0" fillId="13" borderId="22" xfId="0" applyFill="1" applyBorder="1" applyAlignment="1" applyProtection="1">
      <alignment horizontal="left" vertical="top" wrapText="1"/>
      <protection locked="0"/>
    </xf>
    <xf numFmtId="0" fontId="0" fillId="13" borderId="28" xfId="0" applyFill="1" applyBorder="1" applyAlignment="1" applyProtection="1">
      <alignment horizontal="left" vertical="top" wrapText="1"/>
      <protection locked="0"/>
    </xf>
    <xf numFmtId="0" fontId="0" fillId="13" borderId="0" xfId="0" applyFill="1" applyAlignment="1" applyProtection="1">
      <alignment horizontal="left" vertical="top" wrapText="1"/>
      <protection locked="0"/>
    </xf>
    <xf numFmtId="0" fontId="0" fillId="13" borderId="29" xfId="0" applyFill="1" applyBorder="1" applyAlignment="1" applyProtection="1">
      <alignment horizontal="left" vertical="top" wrapText="1"/>
      <protection locked="0"/>
    </xf>
    <xf numFmtId="0" fontId="0" fillId="13" borderId="23" xfId="0" applyFill="1" applyBorder="1" applyAlignment="1" applyProtection="1">
      <alignment horizontal="left" vertical="top" wrapText="1"/>
      <protection locked="0"/>
    </xf>
    <xf numFmtId="0" fontId="0" fillId="13" borderId="18" xfId="0" applyFill="1" applyBorder="1" applyAlignment="1" applyProtection="1">
      <alignment horizontal="left" vertical="top" wrapText="1"/>
      <protection locked="0"/>
    </xf>
    <xf numFmtId="0" fontId="0" fillId="13" borderId="20" xfId="0" applyFill="1" applyBorder="1" applyAlignment="1" applyProtection="1">
      <alignment horizontal="left" vertical="top" wrapText="1"/>
      <protection locked="0"/>
    </xf>
    <xf numFmtId="0" fontId="4" fillId="6" borderId="98" xfId="5" applyFont="1" applyBorder="1" applyAlignment="1">
      <alignment horizontal="center" vertical="center"/>
    </xf>
    <xf numFmtId="0" fontId="4" fillId="6" borderId="99" xfId="5" applyFont="1" applyBorder="1" applyAlignment="1">
      <alignment horizontal="center" vertical="center"/>
    </xf>
    <xf numFmtId="1" fontId="1" fillId="4" borderId="7" xfId="2" applyNumberFormat="1" applyFont="1" applyFill="1" applyBorder="1" applyAlignment="1" applyProtection="1">
      <alignment horizontal="center" vertical="center" wrapText="1"/>
    </xf>
    <xf numFmtId="1" fontId="1" fillId="4" borderId="8" xfId="2" applyNumberFormat="1" applyFont="1" applyFill="1" applyBorder="1" applyAlignment="1" applyProtection="1">
      <alignment horizontal="center" vertical="center" wrapText="1"/>
    </xf>
    <xf numFmtId="0" fontId="1" fillId="4" borderId="8" xfId="2" applyFont="1" applyFill="1" applyBorder="1" applyAlignment="1" applyProtection="1">
      <alignment horizontal="center" vertical="center" wrapText="1"/>
    </xf>
    <xf numFmtId="0" fontId="28" fillId="3" borderId="13" xfId="4" applyFont="1" applyBorder="1" applyAlignment="1">
      <alignment horizontal="center" vertical="center"/>
    </xf>
    <xf numFmtId="0" fontId="1" fillId="6" borderId="10" xfId="5" applyFont="1" applyBorder="1" applyAlignment="1">
      <alignment horizontal="left" vertical="center" wrapText="1"/>
    </xf>
    <xf numFmtId="0" fontId="1" fillId="6" borderId="12" xfId="5" applyFont="1" applyBorder="1" applyAlignment="1">
      <alignment horizontal="left" vertical="center" wrapText="1"/>
    </xf>
    <xf numFmtId="0" fontId="15" fillId="0" borderId="9" xfId="3" applyFont="1" applyBorder="1" applyAlignment="1">
      <alignment horizontal="center" vertical="center" wrapText="1"/>
    </xf>
    <xf numFmtId="0" fontId="15" fillId="0" borderId="0" xfId="3" applyFont="1" applyBorder="1" applyAlignment="1">
      <alignment horizontal="center" vertical="center" wrapText="1"/>
    </xf>
    <xf numFmtId="0" fontId="27" fillId="6" borderId="15" xfId="5" applyFont="1" applyBorder="1" applyAlignment="1">
      <alignment horizontal="left" vertical="center"/>
    </xf>
    <xf numFmtId="0" fontId="27" fillId="6" borderId="15" xfId="5" applyFont="1" applyBorder="1" applyAlignment="1">
      <alignment horizontal="left" vertical="center" wrapText="1"/>
    </xf>
    <xf numFmtId="0" fontId="27" fillId="6" borderId="0" xfId="5" applyFont="1" applyBorder="1" applyAlignment="1">
      <alignment horizontal="left" vertical="center" wrapText="1"/>
    </xf>
    <xf numFmtId="0" fontId="10" fillId="0" borderId="36" xfId="0" applyFont="1" applyBorder="1" applyAlignment="1">
      <alignment horizontal="center" vertical="top" wrapText="1"/>
    </xf>
    <xf numFmtId="0" fontId="10" fillId="0" borderId="84" xfId="0" applyFont="1" applyBorder="1" applyAlignment="1">
      <alignment horizontal="center" vertical="top" wrapText="1"/>
    </xf>
    <xf numFmtId="0" fontId="44" fillId="0" borderId="115" xfId="0" applyFont="1" applyBorder="1" applyAlignment="1">
      <alignment horizontal="left" vertical="center" wrapText="1"/>
    </xf>
    <xf numFmtId="0" fontId="44" fillId="0" borderId="0" xfId="0" applyFont="1" applyAlignment="1">
      <alignment horizontal="left" vertical="center" wrapText="1"/>
    </xf>
    <xf numFmtId="0" fontId="28" fillId="8" borderId="89" xfId="7" applyFont="1" applyBorder="1" applyAlignment="1">
      <alignment horizontal="center" vertical="center" wrapText="1"/>
    </xf>
    <xf numFmtId="0" fontId="28" fillId="8" borderId="5" xfId="7" applyFont="1" applyBorder="1" applyAlignment="1">
      <alignment horizontal="center" vertical="center" wrapText="1"/>
    </xf>
    <xf numFmtId="0" fontId="28" fillId="8" borderId="90" xfId="7" applyFont="1" applyBorder="1" applyAlignment="1">
      <alignment horizontal="center" vertical="center" wrapText="1"/>
    </xf>
    <xf numFmtId="0" fontId="28" fillId="8" borderId="6" xfId="7" applyFont="1" applyBorder="1" applyAlignment="1">
      <alignment horizontal="center" vertical="center" wrapText="1"/>
    </xf>
    <xf numFmtId="1" fontId="3" fillId="8" borderId="89" xfId="7" applyNumberFormat="1" applyFont="1" applyBorder="1" applyAlignment="1">
      <alignment horizontal="center" vertical="center" wrapText="1"/>
    </xf>
    <xf numFmtId="1" fontId="3" fillId="8" borderId="5" xfId="7" applyNumberFormat="1" applyFont="1" applyBorder="1" applyAlignment="1">
      <alignment horizontal="center" vertical="center" wrapText="1"/>
    </xf>
    <xf numFmtId="1" fontId="3" fillId="8" borderId="90" xfId="7" applyNumberFormat="1" applyFont="1" applyBorder="1" applyAlignment="1">
      <alignment horizontal="center" vertical="center" wrapText="1"/>
    </xf>
    <xf numFmtId="1" fontId="3" fillId="8" borderId="6" xfId="7" applyNumberFormat="1" applyFont="1" applyBorder="1" applyAlignment="1">
      <alignment horizontal="center" vertical="center" wrapText="1"/>
    </xf>
    <xf numFmtId="0" fontId="28" fillId="3" borderId="89" xfId="4" applyFont="1" applyBorder="1" applyAlignment="1">
      <alignment horizontal="center" vertical="center" wrapText="1"/>
    </xf>
    <xf numFmtId="0" fontId="28" fillId="3" borderId="5" xfId="4" applyFont="1" applyBorder="1" applyAlignment="1">
      <alignment horizontal="center" vertical="center" wrapText="1"/>
    </xf>
    <xf numFmtId="0" fontId="28" fillId="3" borderId="90" xfId="4" applyFont="1" applyBorder="1" applyAlignment="1">
      <alignment horizontal="center" vertical="center" wrapText="1"/>
    </xf>
    <xf numFmtId="0" fontId="28" fillId="3" borderId="6" xfId="4" applyFont="1" applyBorder="1" applyAlignment="1">
      <alignment horizontal="center" vertical="center" wrapText="1"/>
    </xf>
    <xf numFmtId="1" fontId="3" fillId="3" borderId="89" xfId="4" applyNumberFormat="1" applyFont="1" applyBorder="1" applyAlignment="1">
      <alignment horizontal="center" vertical="center" wrapText="1"/>
    </xf>
    <xf numFmtId="1" fontId="3" fillId="3" borderId="5" xfId="4" applyNumberFormat="1" applyFont="1" applyBorder="1" applyAlignment="1">
      <alignment horizontal="center" vertical="center" wrapText="1"/>
    </xf>
    <xf numFmtId="1" fontId="3" fillId="3" borderId="90" xfId="4" applyNumberFormat="1" applyFont="1" applyBorder="1" applyAlignment="1">
      <alignment horizontal="center" vertical="center" wrapText="1"/>
    </xf>
    <xf numFmtId="1" fontId="3" fillId="3" borderId="6" xfId="4" applyNumberFormat="1" applyFont="1" applyBorder="1" applyAlignment="1">
      <alignment horizontal="center" vertical="center" wrapText="1"/>
    </xf>
    <xf numFmtId="0" fontId="1" fillId="6" borderId="10" xfId="5" applyFont="1" applyBorder="1" applyAlignment="1" applyProtection="1">
      <alignment horizontal="center" vertical="center"/>
      <protection locked="0"/>
    </xf>
    <xf numFmtId="0" fontId="1" fillId="6" borderId="12" xfId="5" applyFont="1" applyBorder="1" applyAlignment="1" applyProtection="1">
      <alignment horizontal="center" vertical="center"/>
      <protection locked="0"/>
    </xf>
    <xf numFmtId="0" fontId="1" fillId="6" borderId="45" xfId="5" applyFont="1" applyBorder="1" applyAlignment="1" applyProtection="1">
      <alignment horizontal="center" vertical="center"/>
      <protection locked="0"/>
    </xf>
    <xf numFmtId="0" fontId="1" fillId="6" borderId="82" xfId="5" applyFont="1" applyBorder="1" applyAlignment="1" applyProtection="1">
      <alignment horizontal="center" vertical="center"/>
      <protection locked="0"/>
    </xf>
    <xf numFmtId="0" fontId="0" fillId="0" borderId="148" xfId="0" applyBorder="1" applyAlignment="1" applyProtection="1">
      <alignment horizontal="center" vertical="top" wrapText="1"/>
      <protection locked="0"/>
    </xf>
    <xf numFmtId="0" fontId="0" fillId="0" borderId="35" xfId="0" applyBorder="1" applyAlignment="1" applyProtection="1">
      <alignment horizontal="center" vertical="top" wrapText="1"/>
      <protection locked="0"/>
    </xf>
    <xf numFmtId="0" fontId="0" fillId="0" borderId="149" xfId="0" applyBorder="1" applyAlignment="1" applyProtection="1">
      <alignment horizontal="center" vertical="top" wrapText="1"/>
      <protection locked="0"/>
    </xf>
    <xf numFmtId="0" fontId="35" fillId="0" borderId="147" xfId="11" applyFont="1" applyBorder="1" applyAlignment="1" applyProtection="1">
      <alignment horizontal="center" vertical="center" wrapText="1"/>
      <protection locked="0"/>
    </xf>
    <xf numFmtId="0" fontId="4" fillId="5" borderId="39" xfId="1" applyFont="1" applyFill="1" applyBorder="1" applyAlignment="1">
      <alignment horizontal="center"/>
    </xf>
    <xf numFmtId="0" fontId="4" fillId="5" borderId="0" xfId="1" applyFont="1" applyFill="1" applyBorder="1" applyAlignment="1">
      <alignment horizontal="center"/>
    </xf>
    <xf numFmtId="0" fontId="4" fillId="5" borderId="150" xfId="1" applyFont="1" applyFill="1" applyBorder="1" applyAlignment="1">
      <alignment horizontal="center"/>
    </xf>
    <xf numFmtId="0" fontId="27" fillId="0" borderId="35" xfId="0" applyFont="1" applyBorder="1" applyAlignment="1">
      <alignment horizontal="left" vertical="center"/>
    </xf>
    <xf numFmtId="0" fontId="0" fillId="0" borderId="52" xfId="0" applyBorder="1" applyAlignment="1">
      <alignment horizontal="left" vertical="center" wrapText="1"/>
    </xf>
    <xf numFmtId="0" fontId="0" fillId="0" borderId="53" xfId="0" applyBorder="1" applyAlignment="1">
      <alignment horizontal="left" vertical="center" wrapText="1"/>
    </xf>
    <xf numFmtId="0" fontId="4" fillId="6" borderId="24" xfId="5" applyFont="1" applyBorder="1" applyAlignment="1">
      <alignment horizontal="left" vertical="center" wrapText="1"/>
    </xf>
    <xf numFmtId="0" fontId="4" fillId="6" borderId="25" xfId="5" applyFont="1" applyBorder="1" applyAlignment="1">
      <alignment horizontal="left" vertical="center" wrapText="1"/>
    </xf>
    <xf numFmtId="0" fontId="4" fillId="6" borderId="24" xfId="5" applyFont="1" applyBorder="1" applyAlignment="1">
      <alignment horizontal="center" vertical="center"/>
    </xf>
    <xf numFmtId="0" fontId="4" fillId="6" borderId="25" xfId="5"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7" fillId="6" borderId="26" xfId="5" applyFont="1" applyBorder="1" applyAlignment="1">
      <alignment horizontal="left" vertical="center" wrapText="1"/>
    </xf>
    <xf numFmtId="0" fontId="27" fillId="6" borderId="27" xfId="5" applyFont="1" applyBorder="1" applyAlignment="1">
      <alignment horizontal="left" vertical="center" wrapText="1"/>
    </xf>
    <xf numFmtId="0" fontId="27" fillId="6" borderId="28" xfId="5" applyFont="1" applyBorder="1" applyAlignment="1">
      <alignment horizontal="left" vertical="center" wrapText="1"/>
    </xf>
    <xf numFmtId="0" fontId="27" fillId="6" borderId="29" xfId="5" applyFont="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5" borderId="41" xfId="1" applyFont="1" applyFill="1" applyBorder="1" applyAlignment="1">
      <alignment horizontal="center"/>
    </xf>
    <xf numFmtId="0" fontId="17" fillId="6" borderId="58" xfId="5" applyFont="1" applyBorder="1" applyAlignment="1">
      <alignment horizontal="center" vertical="center" wrapText="1"/>
    </xf>
    <xf numFmtId="0" fontId="17" fillId="6" borderId="144" xfId="5" applyFont="1" applyBorder="1" applyAlignment="1">
      <alignment horizontal="center" vertical="center" wrapText="1"/>
    </xf>
    <xf numFmtId="0" fontId="15" fillId="0" borderId="36" xfId="3" applyFont="1" applyBorder="1" applyAlignment="1">
      <alignment horizontal="center" vertical="center" wrapText="1"/>
    </xf>
    <xf numFmtId="0" fontId="15" fillId="0" borderId="38" xfId="3" applyFont="1" applyBorder="1" applyAlignment="1">
      <alignment horizontal="center" vertical="center" wrapText="1"/>
    </xf>
    <xf numFmtId="0" fontId="15" fillId="0" borderId="50" xfId="3" applyFont="1" applyBorder="1" applyAlignment="1">
      <alignment horizontal="center" vertical="center" wrapText="1"/>
    </xf>
    <xf numFmtId="0" fontId="15" fillId="0" borderId="51" xfId="3" applyFont="1" applyBorder="1" applyAlignment="1">
      <alignment horizontal="center" vertical="center" wrapText="1"/>
    </xf>
    <xf numFmtId="0" fontId="17" fillId="6" borderId="148" xfId="5" applyFont="1" applyBorder="1" applyAlignment="1">
      <alignment horizontal="center" vertical="center" wrapText="1"/>
    </xf>
    <xf numFmtId="0" fontId="17" fillId="6" borderId="35" xfId="5" applyFont="1" applyBorder="1" applyAlignment="1">
      <alignment horizontal="center" vertical="center" wrapText="1"/>
    </xf>
    <xf numFmtId="0" fontId="17" fillId="6" borderId="149" xfId="5" applyFont="1" applyBorder="1" applyAlignment="1">
      <alignment horizontal="center" vertical="center" wrapText="1"/>
    </xf>
    <xf numFmtId="0" fontId="3" fillId="3" borderId="13" xfId="4" applyFont="1" applyBorder="1" applyAlignment="1">
      <alignment horizontal="center" vertical="center"/>
    </xf>
    <xf numFmtId="0" fontId="0" fillId="6" borderId="10" xfId="5" applyFont="1" applyBorder="1" applyAlignment="1" applyProtection="1">
      <alignment horizontal="center" vertical="center"/>
      <protection locked="0"/>
    </xf>
    <xf numFmtId="0" fontId="30" fillId="6" borderId="56" xfId="5" applyFont="1" applyBorder="1" applyAlignment="1">
      <alignment horizontal="center" vertical="center" wrapText="1"/>
    </xf>
    <xf numFmtId="0" fontId="30" fillId="6" borderId="25" xfId="5" applyFont="1" applyBorder="1" applyAlignment="1">
      <alignment horizontal="center" vertical="center" wrapText="1"/>
    </xf>
    <xf numFmtId="0" fontId="30" fillId="6" borderId="57" xfId="5" applyFont="1" applyBorder="1" applyAlignment="1">
      <alignment horizontal="center" vertical="center" wrapText="1"/>
    </xf>
    <xf numFmtId="0" fontId="30" fillId="6" borderId="23" xfId="5" applyFont="1" applyBorder="1" applyAlignment="1">
      <alignment horizontal="center" vertical="center" wrapText="1"/>
    </xf>
    <xf numFmtId="0" fontId="30" fillId="6" borderId="28" xfId="5" applyFont="1" applyBorder="1" applyAlignment="1">
      <alignment horizontal="center" vertical="center" wrapText="1"/>
    </xf>
    <xf numFmtId="0" fontId="27" fillId="6" borderId="55" xfId="9" applyFont="1" applyBorder="1" applyAlignment="1">
      <alignment horizontal="center" vertical="center" wrapText="1"/>
    </xf>
    <xf numFmtId="0" fontId="27" fillId="6" borderId="59" xfId="9" applyFont="1" applyBorder="1" applyAlignment="1">
      <alignment horizontal="center" vertical="center" wrapText="1"/>
    </xf>
    <xf numFmtId="0" fontId="17" fillId="6" borderId="57" xfId="5" applyFont="1" applyBorder="1" applyAlignment="1">
      <alignment horizontal="center" vertical="center" wrapText="1"/>
    </xf>
    <xf numFmtId="0" fontId="17" fillId="6" borderId="28" xfId="5" applyFont="1" applyBorder="1" applyAlignment="1">
      <alignment horizontal="center" vertical="center" wrapText="1"/>
    </xf>
    <xf numFmtId="0" fontId="27" fillId="6" borderId="60" xfId="5" applyFont="1" applyBorder="1" applyAlignment="1">
      <alignment horizontal="center" vertical="center"/>
    </xf>
    <xf numFmtId="0" fontId="27" fillId="6" borderId="61" xfId="5" applyFont="1" applyBorder="1" applyAlignment="1">
      <alignment horizontal="center" vertical="center"/>
    </xf>
    <xf numFmtId="0" fontId="0" fillId="0" borderId="22"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4" fillId="6" borderId="15" xfId="5" applyFont="1" applyBorder="1" applyAlignment="1">
      <alignment horizontal="center" vertical="center"/>
    </xf>
    <xf numFmtId="0" fontId="4" fillId="6" borderId="0" xfId="5" applyFont="1" applyBorder="1" applyAlignment="1">
      <alignment horizontal="center" vertical="center"/>
    </xf>
    <xf numFmtId="0" fontId="0" fillId="0" borderId="4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4" fillId="6" borderId="36" xfId="5" applyFont="1" applyBorder="1" applyAlignment="1">
      <alignment horizontal="left" vertical="center" wrapText="1"/>
    </xf>
    <xf numFmtId="0" fontId="4" fillId="6" borderId="38" xfId="5" applyFont="1" applyBorder="1" applyAlignment="1">
      <alignment horizontal="left" vertical="center" wrapText="1"/>
    </xf>
    <xf numFmtId="0" fontId="4" fillId="6" borderId="50" xfId="5" applyFont="1" applyBorder="1" applyAlignment="1">
      <alignment horizontal="left" vertical="center" wrapText="1"/>
    </xf>
    <xf numFmtId="0" fontId="4" fillId="6" borderId="51" xfId="5" applyFont="1" applyBorder="1" applyAlignment="1">
      <alignment horizontal="left" vertical="center" wrapText="1"/>
    </xf>
    <xf numFmtId="0" fontId="0" fillId="0" borderId="28" xfId="0" applyBorder="1" applyAlignment="1" applyProtection="1">
      <alignment vertical="center"/>
      <protection locked="0"/>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17" fillId="0" borderId="86" xfId="0" applyFont="1" applyBorder="1" applyAlignment="1" applyProtection="1">
      <alignment horizontal="center" vertical="center" wrapText="1"/>
      <protection locked="0"/>
    </xf>
    <xf numFmtId="0" fontId="17" fillId="0" borderId="87" xfId="0" applyFont="1" applyBorder="1" applyAlignment="1" applyProtection="1">
      <alignment horizontal="center" vertical="center" wrapText="1"/>
      <protection locked="0"/>
    </xf>
    <xf numFmtId="0" fontId="27" fillId="6" borderId="13" xfId="5" applyFont="1" applyBorder="1" applyAlignment="1">
      <alignment horizontal="left" vertical="center"/>
    </xf>
    <xf numFmtId="0" fontId="27" fillId="6" borderId="34" xfId="5" applyFont="1" applyBorder="1" applyAlignment="1">
      <alignment horizontal="left" vertical="center"/>
    </xf>
    <xf numFmtId="0" fontId="51" fillId="0" borderId="85" xfId="0" applyFont="1" applyBorder="1" applyAlignment="1">
      <alignment horizontal="left" vertical="center" wrapText="1"/>
    </xf>
    <xf numFmtId="0" fontId="51" fillId="0" borderId="86" xfId="0" applyFont="1" applyBorder="1" applyAlignment="1">
      <alignment horizontal="left" vertical="center" wrapText="1"/>
    </xf>
    <xf numFmtId="0" fontId="7" fillId="0" borderId="33" xfId="0" applyFont="1" applyBorder="1" applyAlignment="1">
      <alignment horizontal="left" vertical="center" wrapText="1"/>
    </xf>
    <xf numFmtId="0" fontId="7" fillId="0" borderId="19" xfId="0" applyFont="1" applyBorder="1" applyAlignment="1">
      <alignment horizontal="left" vertical="center" wrapText="1"/>
    </xf>
    <xf numFmtId="0" fontId="4" fillId="6" borderId="31" xfId="5" applyFont="1" applyBorder="1" applyAlignment="1">
      <alignment horizontal="left" vertical="center"/>
    </xf>
    <xf numFmtId="0" fontId="27" fillId="0" borderId="52" xfId="0" applyFont="1" applyBorder="1" applyAlignment="1">
      <alignment horizontal="left" vertical="center"/>
    </xf>
    <xf numFmtId="0" fontId="27" fillId="0" borderId="53" xfId="0" applyFont="1" applyBorder="1" applyAlignment="1">
      <alignment horizontal="left" vertical="center"/>
    </xf>
    <xf numFmtId="0" fontId="27" fillId="0" borderId="54" xfId="0" applyFont="1" applyBorder="1" applyAlignment="1">
      <alignment horizontal="left" vertical="center"/>
    </xf>
    <xf numFmtId="0" fontId="27" fillId="0" borderId="52" xfId="0" applyFont="1" applyBorder="1" applyAlignment="1">
      <alignment horizontal="left" vertical="center" wrapText="1"/>
    </xf>
    <xf numFmtId="0" fontId="27" fillId="0" borderId="53" xfId="0" applyFont="1" applyBorder="1" applyAlignment="1">
      <alignment horizontal="left" vertical="center" wrapText="1"/>
    </xf>
    <xf numFmtId="0" fontId="27" fillId="0" borderId="54" xfId="0" applyFont="1" applyBorder="1" applyAlignment="1">
      <alignment horizontal="left" vertical="center" wrapText="1"/>
    </xf>
    <xf numFmtId="0" fontId="27" fillId="0" borderId="53" xfId="10" applyFont="1" applyBorder="1" applyAlignment="1" applyProtection="1">
      <alignment horizontal="left" vertical="center"/>
      <protection locked="0"/>
    </xf>
    <xf numFmtId="0" fontId="27" fillId="0" borderId="54" xfId="10" applyFont="1" applyBorder="1" applyAlignment="1" applyProtection="1">
      <alignment horizontal="left" vertical="center"/>
      <protection locked="0"/>
    </xf>
    <xf numFmtId="0" fontId="0" fillId="0" borderId="54" xfId="0" applyBorder="1" applyAlignment="1">
      <alignment horizontal="left" vertical="center" wrapText="1"/>
    </xf>
    <xf numFmtId="0" fontId="0" fillId="0" borderId="52" xfId="0" applyBorder="1" applyAlignment="1">
      <alignment horizontal="center" vertical="center"/>
    </xf>
    <xf numFmtId="0" fontId="0" fillId="0" borderId="54" xfId="0" applyBorder="1" applyAlignment="1">
      <alignment horizontal="center" vertical="center"/>
    </xf>
    <xf numFmtId="0" fontId="1" fillId="0" borderId="52" xfId="3" applyFont="1" applyBorder="1" applyAlignment="1">
      <alignment horizontal="center" vertical="center" wrapText="1"/>
    </xf>
    <xf numFmtId="0" fontId="1" fillId="0" borderId="54" xfId="3" applyFont="1" applyBorder="1" applyAlignment="1">
      <alignment horizontal="center" vertical="center" wrapText="1"/>
    </xf>
    <xf numFmtId="0" fontId="4" fillId="5" borderId="50" xfId="1" applyFont="1" applyFill="1" applyBorder="1" applyAlignment="1">
      <alignment horizontal="left"/>
    </xf>
    <xf numFmtId="0" fontId="4" fillId="5" borderId="67" xfId="1" applyFont="1" applyFill="1" applyBorder="1" applyAlignment="1">
      <alignment horizontal="left"/>
    </xf>
    <xf numFmtId="0" fontId="27" fillId="5" borderId="52" xfId="0" applyFont="1" applyFill="1" applyBorder="1" applyAlignment="1">
      <alignment horizontal="right" vertical="center"/>
    </xf>
    <xf numFmtId="0" fontId="27" fillId="5" borderId="53" xfId="0" applyFont="1" applyFill="1" applyBorder="1" applyAlignment="1">
      <alignment horizontal="right" vertical="center"/>
    </xf>
    <xf numFmtId="0" fontId="27" fillId="5" borderId="81" xfId="0" applyFont="1" applyFill="1" applyBorder="1" applyAlignment="1">
      <alignment horizontal="right" vertical="center"/>
    </xf>
    <xf numFmtId="0" fontId="0" fillId="0" borderId="0" xfId="0" applyAlignment="1">
      <alignment horizontal="left" vertical="center" wrapText="1"/>
    </xf>
    <xf numFmtId="0" fontId="0" fillId="0" borderId="67" xfId="0" applyBorder="1" applyAlignment="1">
      <alignment horizontal="left" vertical="center" wrapText="1"/>
    </xf>
    <xf numFmtId="0" fontId="0" fillId="0" borderId="36"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0" fillId="0" borderId="67"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4" fillId="0" borderId="35" xfId="0" applyFont="1" applyBorder="1" applyAlignment="1">
      <alignment horizontal="center" vertical="center" wrapText="1"/>
    </xf>
    <xf numFmtId="169" fontId="4" fillId="0" borderId="35" xfId="0" applyNumberFormat="1" applyFont="1" applyBorder="1" applyAlignment="1" applyProtection="1">
      <alignment horizontal="left" vertical="center" wrapText="1"/>
      <protection locked="0"/>
    </xf>
    <xf numFmtId="0" fontId="15" fillId="0" borderId="9" xfId="3" applyFont="1" applyBorder="1" applyAlignment="1" applyProtection="1">
      <alignment horizontal="left" vertical="top" wrapText="1"/>
      <protection locked="0"/>
    </xf>
    <xf numFmtId="0" fontId="15" fillId="0" borderId="41" xfId="3" applyFont="1" applyBorder="1" applyAlignment="1" applyProtection="1">
      <alignment horizontal="left" vertical="top" wrapText="1"/>
      <protection locked="0"/>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0" xfId="0" applyBorder="1" applyAlignment="1">
      <alignment horizontal="left" vertical="center" wrapText="1"/>
    </xf>
    <xf numFmtId="0" fontId="0" fillId="0" borderId="37" xfId="0" applyBorder="1" applyAlignment="1">
      <alignment horizontal="left"/>
    </xf>
    <xf numFmtId="166" fontId="4" fillId="0" borderId="37" xfId="0" applyNumberFormat="1" applyFont="1" applyBorder="1" applyAlignment="1">
      <alignment horizontal="left"/>
    </xf>
    <xf numFmtId="0" fontId="35" fillId="0" borderId="37" xfId="11" applyFont="1" applyBorder="1" applyAlignment="1" applyProtection="1">
      <alignment horizontal="center" vertical="center" wrapText="1"/>
      <protection locked="0"/>
    </xf>
    <xf numFmtId="0" fontId="35" fillId="0" borderId="38" xfId="11" applyFont="1" applyBorder="1" applyAlignment="1" applyProtection="1">
      <alignment horizontal="center" vertical="center" wrapText="1"/>
      <protection locked="0"/>
    </xf>
    <xf numFmtId="0" fontId="35" fillId="0" borderId="67" xfId="11" applyFont="1" applyBorder="1" applyAlignment="1" applyProtection="1">
      <alignment horizontal="center" vertical="center" wrapText="1"/>
      <protection locked="0"/>
    </xf>
    <xf numFmtId="0" fontId="35" fillId="0" borderId="51" xfId="11" applyFont="1" applyBorder="1" applyAlignment="1" applyProtection="1">
      <alignment horizontal="center" vertical="center" wrapText="1"/>
      <protection locked="0"/>
    </xf>
    <xf numFmtId="0" fontId="0" fillId="0" borderId="0" xfId="0" applyAlignment="1">
      <alignment horizontal="left" vertical="top" wrapText="1"/>
    </xf>
    <xf numFmtId="0" fontId="4" fillId="0" borderId="37" xfId="0" applyFont="1" applyBorder="1" applyAlignment="1">
      <alignment horizontal="left"/>
    </xf>
    <xf numFmtId="0" fontId="0" fillId="0" borderId="0" xfId="0" applyAlignment="1">
      <alignment horizontal="left" vertical="center"/>
    </xf>
    <xf numFmtId="0" fontId="0" fillId="0" borderId="39" xfId="0" applyBorder="1" applyAlignment="1">
      <alignment horizontal="left" wrapText="1"/>
    </xf>
    <xf numFmtId="0" fontId="0" fillId="0" borderId="0" xfId="0" applyAlignment="1">
      <alignment horizontal="left" wrapText="1"/>
    </xf>
    <xf numFmtId="0" fontId="0" fillId="0" borderId="39" xfId="0" applyBorder="1" applyAlignment="1">
      <alignment wrapText="1"/>
    </xf>
    <xf numFmtId="0" fontId="0" fillId="0" borderId="0" xfId="0" applyAlignment="1">
      <alignment wrapText="1"/>
    </xf>
    <xf numFmtId="0" fontId="0" fillId="0" borderId="37" xfId="0" applyBorder="1" applyAlignment="1">
      <alignment horizontal="center"/>
    </xf>
    <xf numFmtId="0" fontId="17" fillId="0" borderId="70" xfId="0" applyFont="1" applyBorder="1" applyAlignment="1">
      <alignment horizontal="left" vertical="center" wrapText="1"/>
    </xf>
    <xf numFmtId="0" fontId="17" fillId="0" borderId="68" xfId="0" applyFont="1"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41" xfId="0" applyBorder="1" applyAlignment="1">
      <alignment horizontal="left" vertical="center" wrapText="1"/>
    </xf>
    <xf numFmtId="0" fontId="0" fillId="0" borderId="51" xfId="0" applyBorder="1" applyAlignment="1">
      <alignment horizontal="left" vertical="center" wrapText="1"/>
    </xf>
    <xf numFmtId="0" fontId="0" fillId="0" borderId="67" xfId="0" applyBorder="1" applyAlignment="1">
      <alignment horizontal="left" vertical="top" wrapText="1"/>
    </xf>
    <xf numFmtId="0" fontId="0" fillId="0" borderId="37" xfId="0" applyBorder="1" applyAlignment="1">
      <alignment vertical="center" wrapText="1"/>
    </xf>
    <xf numFmtId="0" fontId="0" fillId="0" borderId="0" xfId="0" applyAlignment="1">
      <alignment vertical="center" wrapText="1"/>
    </xf>
    <xf numFmtId="0" fontId="0" fillId="0" borderId="0" xfId="0" applyAlignment="1">
      <alignment horizontal="center" wrapText="1"/>
    </xf>
    <xf numFmtId="0" fontId="4" fillId="0" borderId="0" xfId="0" applyFont="1" applyAlignment="1" applyProtection="1">
      <alignment horizontal="left" wrapText="1"/>
      <protection locked="0"/>
    </xf>
    <xf numFmtId="0" fontId="3" fillId="0" borderId="0" xfId="0" applyFont="1" applyAlignment="1">
      <alignment horizontal="left"/>
    </xf>
    <xf numFmtId="0" fontId="4" fillId="0" borderId="0" xfId="0" applyFont="1" applyAlignment="1">
      <alignment horizontal="left"/>
    </xf>
    <xf numFmtId="170" fontId="27" fillId="0" borderId="0" xfId="0" applyNumberFormat="1" applyFont="1" applyAlignment="1">
      <alignment horizontal="left"/>
    </xf>
    <xf numFmtId="0" fontId="4" fillId="0" borderId="0" xfId="0" applyFont="1" applyAlignment="1">
      <alignment horizontal="center" wrapText="1"/>
    </xf>
    <xf numFmtId="0" fontId="4" fillId="0" borderId="0" xfId="0" applyFont="1" applyAlignment="1">
      <alignment horizontal="center"/>
    </xf>
    <xf numFmtId="0" fontId="0" fillId="0" borderId="0" xfId="0" applyAlignment="1">
      <alignment horizontal="center" vertical="center" wrapText="1"/>
    </xf>
    <xf numFmtId="169" fontId="4" fillId="0" borderId="0" xfId="0" applyNumberFormat="1" applyFont="1" applyAlignment="1" applyProtection="1">
      <alignment horizontal="left"/>
      <protection locked="0"/>
    </xf>
    <xf numFmtId="0" fontId="27" fillId="0" borderId="0" xfId="0" applyFont="1" applyAlignment="1">
      <alignment horizontal="left" vertical="center" wrapText="1"/>
    </xf>
    <xf numFmtId="0" fontId="0" fillId="0" borderId="0" xfId="0" applyAlignment="1">
      <alignment horizontal="left"/>
    </xf>
    <xf numFmtId="0" fontId="4" fillId="0" borderId="0" xfId="0" applyFont="1" applyAlignment="1">
      <alignment horizontal="left" vertical="center" wrapText="1"/>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30" fillId="0" borderId="0" xfId="0" applyFont="1" applyAlignment="1">
      <alignment horizontal="center" vertical="center" wrapText="1"/>
    </xf>
    <xf numFmtId="0" fontId="39" fillId="0" borderId="0" xfId="0" applyFont="1" applyAlignment="1">
      <alignment horizontal="center" vertical="center" wrapText="1"/>
    </xf>
    <xf numFmtId="0" fontId="38" fillId="0" borderId="0" xfId="0" applyFont="1" applyAlignment="1">
      <alignment horizontal="left" vertical="top" wrapText="1"/>
    </xf>
    <xf numFmtId="0" fontId="4" fillId="5" borderId="50" xfId="1" applyFont="1" applyFill="1" applyBorder="1" applyAlignment="1">
      <alignment horizontal="left" indent="1"/>
    </xf>
    <xf numFmtId="0" fontId="4" fillId="5" borderId="67" xfId="1" applyFont="1" applyFill="1" applyBorder="1" applyAlignment="1">
      <alignment horizontal="left" indent="1"/>
    </xf>
    <xf numFmtId="0" fontId="0" fillId="0" borderId="50" xfId="0" applyBorder="1" applyAlignment="1">
      <alignment wrapText="1"/>
    </xf>
    <xf numFmtId="0" fontId="0" fillId="0" borderId="67" xfId="0" applyBorder="1" applyAlignment="1">
      <alignment wrapText="1"/>
    </xf>
    <xf numFmtId="0" fontId="0" fillId="0" borderId="50" xfId="0" applyBorder="1" applyAlignment="1">
      <alignment horizontal="left" wrapText="1"/>
    </xf>
    <xf numFmtId="0" fontId="0" fillId="0" borderId="67" xfId="0" applyBorder="1" applyAlignment="1">
      <alignment horizontal="left" wrapText="1"/>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50" xfId="0" applyFont="1" applyBorder="1" applyAlignment="1">
      <alignment horizontal="left" vertical="center"/>
    </xf>
    <xf numFmtId="0" fontId="4" fillId="0" borderId="67" xfId="0" applyFont="1" applyBorder="1" applyAlignment="1">
      <alignment horizontal="left" vertical="center"/>
    </xf>
    <xf numFmtId="0" fontId="4" fillId="0" borderId="51" xfId="0" applyFont="1" applyBorder="1" applyAlignment="1">
      <alignment horizontal="left" vertical="center"/>
    </xf>
    <xf numFmtId="0" fontId="35" fillId="0" borderId="0" xfId="11" applyFont="1" applyFill="1" applyAlignment="1" applyProtection="1">
      <alignment horizontal="center" vertical="center"/>
      <protection locked="0"/>
    </xf>
    <xf numFmtId="0" fontId="7" fillId="0" borderId="0" xfId="0" applyFont="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top" wrapText="1"/>
    </xf>
    <xf numFmtId="0" fontId="53" fillId="0" borderId="53" xfId="0" applyFont="1" applyBorder="1" applyAlignment="1">
      <alignment horizontal="left" vertical="center" wrapText="1"/>
    </xf>
    <xf numFmtId="0" fontId="4" fillId="0" borderId="39" xfId="0" applyFont="1" applyBorder="1" applyAlignment="1">
      <alignment horizontal="left" wrapText="1"/>
    </xf>
    <xf numFmtId="0" fontId="4" fillId="0" borderId="0" xfId="0" applyFont="1" applyAlignment="1">
      <alignment horizontal="left" wrapText="1"/>
    </xf>
    <xf numFmtId="0" fontId="39" fillId="5" borderId="39" xfId="1" applyFont="1" applyFill="1" applyBorder="1" applyAlignment="1">
      <alignment horizontal="left"/>
    </xf>
    <xf numFmtId="0" fontId="4" fillId="0" borderId="39" xfId="0" applyFont="1" applyBorder="1" applyAlignment="1">
      <alignment horizontal="left"/>
    </xf>
    <xf numFmtId="0" fontId="27" fillId="0" borderId="52" xfId="0" applyFont="1" applyBorder="1" applyAlignment="1">
      <alignment horizontal="left" vertical="center" wrapText="1" indent="4"/>
    </xf>
    <xf numFmtId="0" fontId="27" fillId="0" borderId="53" xfId="0" applyFont="1" applyBorder="1" applyAlignment="1">
      <alignment horizontal="left" vertical="center" wrapText="1" indent="4"/>
    </xf>
    <xf numFmtId="0" fontId="0" fillId="0" borderId="0" xfId="0" applyAlignment="1" applyProtection="1">
      <alignment horizontal="left" vertical="center"/>
      <protection hidden="1"/>
    </xf>
    <xf numFmtId="0" fontId="4" fillId="0" borderId="0" xfId="0" applyFont="1" applyAlignment="1" applyProtection="1">
      <alignment horizontal="left" wrapText="1"/>
      <protection hidden="1"/>
    </xf>
    <xf numFmtId="169" fontId="4" fillId="0" borderId="0" xfId="0" applyNumberFormat="1" applyFont="1" applyAlignment="1" applyProtection="1">
      <alignment horizontal="left"/>
      <protection hidden="1"/>
    </xf>
    <xf numFmtId="0" fontId="4" fillId="5" borderId="39" xfId="1" applyFont="1" applyFill="1" applyBorder="1" applyAlignment="1" applyProtection="1">
      <alignment horizontal="left"/>
      <protection hidden="1"/>
    </xf>
    <xf numFmtId="0" fontId="4" fillId="5" borderId="0" xfId="1" applyFont="1" applyFill="1" applyBorder="1" applyAlignment="1" applyProtection="1">
      <alignment horizontal="left"/>
      <protection hidden="1"/>
    </xf>
    <xf numFmtId="0" fontId="4" fillId="0" borderId="35"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41" xfId="0" applyBorder="1" applyAlignment="1" applyProtection="1">
      <alignment horizontal="center" vertical="center" wrapText="1"/>
      <protection hidden="1"/>
    </xf>
    <xf numFmtId="0" fontId="0" fillId="0" borderId="67" xfId="0" applyBorder="1" applyAlignment="1" applyProtection="1">
      <alignment horizontal="center" vertical="center" wrapText="1"/>
      <protection hidden="1"/>
    </xf>
    <xf numFmtId="0" fontId="0" fillId="0" borderId="51" xfId="0" applyBorder="1" applyAlignment="1" applyProtection="1">
      <alignment horizontal="center" vertical="center" wrapText="1"/>
      <protection hidden="1"/>
    </xf>
    <xf numFmtId="0" fontId="4" fillId="5" borderId="50" xfId="1" applyFont="1" applyFill="1" applyBorder="1" applyAlignment="1" applyProtection="1">
      <alignment horizontal="left"/>
      <protection hidden="1"/>
    </xf>
    <xf numFmtId="0" fontId="4" fillId="5" borderId="67" xfId="1" applyFont="1" applyFill="1" applyBorder="1" applyAlignment="1" applyProtection="1">
      <alignment horizontal="left"/>
      <protection hidden="1"/>
    </xf>
    <xf numFmtId="0" fontId="4" fillId="0" borderId="35" xfId="0" applyFont="1" applyBorder="1" applyAlignment="1" applyProtection="1">
      <alignment horizontal="left" vertical="center"/>
      <protection hidden="1"/>
    </xf>
    <xf numFmtId="0" fontId="4" fillId="0" borderId="35" xfId="0" applyFont="1" applyBorder="1" applyAlignment="1" applyProtection="1">
      <alignment horizontal="left" vertical="center" wrapText="1"/>
      <protection hidden="1"/>
    </xf>
    <xf numFmtId="0" fontId="1" fillId="0" borderId="52" xfId="3" applyFont="1" applyBorder="1" applyAlignment="1" applyProtection="1">
      <alignment horizontal="left" vertical="center"/>
      <protection hidden="1"/>
    </xf>
    <xf numFmtId="0" fontId="1" fillId="0" borderId="53" xfId="3" applyFont="1" applyBorder="1" applyAlignment="1" applyProtection="1">
      <alignment horizontal="left" vertical="center"/>
      <protection hidden="1"/>
    </xf>
    <xf numFmtId="0" fontId="1" fillId="0" borderId="54" xfId="3" applyFont="1" applyBorder="1" applyAlignment="1" applyProtection="1">
      <alignment horizontal="left" vertical="center"/>
      <protection hidden="1"/>
    </xf>
    <xf numFmtId="0" fontId="0" fillId="0" borderId="52" xfId="0" applyBorder="1" applyAlignment="1" applyProtection="1">
      <alignment horizontal="left" vertical="center" wrapText="1"/>
      <protection hidden="1"/>
    </xf>
    <xf numFmtId="0" fontId="0" fillId="0" borderId="53" xfId="0" applyBorder="1" applyAlignment="1" applyProtection="1">
      <alignment horizontal="left" vertical="center" wrapText="1"/>
      <protection hidden="1"/>
    </xf>
    <xf numFmtId="0" fontId="0" fillId="0" borderId="54" xfId="0" applyBorder="1" applyAlignment="1" applyProtection="1">
      <alignment horizontal="left" vertical="center" wrapText="1"/>
      <protection hidden="1"/>
    </xf>
    <xf numFmtId="0" fontId="4" fillId="0" borderId="52" xfId="0" applyFont="1" applyBorder="1" applyAlignment="1" applyProtection="1">
      <alignment horizontal="left" vertical="center" wrapText="1"/>
      <protection hidden="1"/>
    </xf>
    <xf numFmtId="0" fontId="4" fillId="0" borderId="54" xfId="0" applyFont="1" applyBorder="1" applyAlignment="1" applyProtection="1">
      <alignment horizontal="left" vertical="center" wrapText="1"/>
      <protection hidden="1"/>
    </xf>
    <xf numFmtId="0" fontId="4" fillId="0" borderId="52" xfId="0" applyFont="1" applyBorder="1" applyAlignment="1" applyProtection="1">
      <alignment horizontal="left" vertical="center"/>
      <protection hidden="1"/>
    </xf>
    <xf numFmtId="0" fontId="4" fillId="0" borderId="54" xfId="0" applyFont="1" applyBorder="1" applyAlignment="1" applyProtection="1">
      <alignment horizontal="left" vertical="center"/>
      <protection hidden="1"/>
    </xf>
    <xf numFmtId="0" fontId="4" fillId="0" borderId="0" xfId="0" applyFont="1" applyAlignment="1" applyProtection="1">
      <alignment horizontal="right" vertical="top" wrapText="1"/>
      <protection hidden="1"/>
    </xf>
    <xf numFmtId="0" fontId="4" fillId="0" borderId="0" xfId="0" applyFont="1" applyAlignment="1" applyProtection="1">
      <alignment horizontal="left"/>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53" xfId="0" applyBorder="1" applyAlignment="1" applyProtection="1">
      <alignment horizontal="left" vertical="center" wrapText="1"/>
      <protection locked="0" hidden="1"/>
    </xf>
    <xf numFmtId="0" fontId="0" fillId="0" borderId="54" xfId="0" applyBorder="1" applyAlignment="1" applyProtection="1">
      <alignment horizontal="left" vertical="center" wrapText="1"/>
      <protection locked="0" hidden="1"/>
    </xf>
    <xf numFmtId="0" fontId="10" fillId="0" borderId="52" xfId="3" applyFont="1" applyBorder="1" applyAlignment="1" applyProtection="1">
      <alignment horizontal="left" vertical="center" wrapText="1"/>
      <protection locked="0" hidden="1"/>
    </xf>
    <xf numFmtId="0" fontId="10" fillId="0" borderId="53" xfId="3" applyFont="1" applyBorder="1" applyAlignment="1" applyProtection="1">
      <alignment horizontal="left" vertical="center" wrapText="1"/>
      <protection locked="0" hidden="1"/>
    </xf>
    <xf numFmtId="0" fontId="10" fillId="0" borderId="54" xfId="3" applyFont="1" applyBorder="1" applyAlignment="1" applyProtection="1">
      <alignment horizontal="left" vertical="center" wrapText="1"/>
      <protection locked="0" hidden="1"/>
    </xf>
    <xf numFmtId="0" fontId="26" fillId="0" borderId="52" xfId="0" applyFont="1" applyBorder="1" applyAlignment="1" applyProtection="1">
      <alignment horizontal="left" vertical="center" wrapText="1"/>
      <protection locked="0" hidden="1"/>
    </xf>
    <xf numFmtId="0" fontId="26" fillId="0" borderId="54" xfId="0" applyFont="1" applyBorder="1" applyAlignment="1" applyProtection="1">
      <alignment horizontal="left" vertical="center" wrapText="1"/>
      <protection locked="0" hidden="1"/>
    </xf>
    <xf numFmtId="0" fontId="0" fillId="0" borderId="52" xfId="3" applyFont="1" applyBorder="1" applyAlignment="1" applyProtection="1">
      <alignment horizontal="left" vertical="center" wrapText="1"/>
      <protection hidden="1"/>
    </xf>
    <xf numFmtId="0" fontId="0" fillId="0" borderId="53" xfId="3" applyFont="1" applyBorder="1" applyAlignment="1" applyProtection="1">
      <alignment horizontal="left" vertical="center" wrapText="1"/>
      <protection hidden="1"/>
    </xf>
    <xf numFmtId="0" fontId="0" fillId="0" borderId="54" xfId="3" applyFont="1" applyBorder="1" applyAlignment="1" applyProtection="1">
      <alignment horizontal="left" vertical="center" wrapText="1"/>
      <protection hidden="1"/>
    </xf>
    <xf numFmtId="0" fontId="4" fillId="5" borderId="50" xfId="1" applyFont="1" applyFill="1" applyBorder="1" applyAlignment="1" applyProtection="1">
      <alignment horizontal="left"/>
      <protection locked="0" hidden="1"/>
    </xf>
    <xf numFmtId="0" fontId="4" fillId="5" borderId="67" xfId="1" applyFont="1" applyFill="1" applyBorder="1" applyAlignment="1" applyProtection="1">
      <alignment horizontal="left"/>
      <protection locked="0" hidden="1"/>
    </xf>
    <xf numFmtId="0" fontId="4" fillId="0" borderId="52" xfId="0" applyFont="1" applyBorder="1" applyAlignment="1" applyProtection="1">
      <alignment horizontal="left" wrapText="1" indent="4"/>
      <protection hidden="1"/>
    </xf>
    <xf numFmtId="0" fontId="4" fillId="0" borderId="53" xfId="0" applyFont="1" applyBorder="1" applyAlignment="1" applyProtection="1">
      <alignment horizontal="left" wrapText="1" indent="4"/>
      <protection hidden="1"/>
    </xf>
    <xf numFmtId="0" fontId="4" fillId="0" borderId="52" xfId="0" applyFont="1" applyBorder="1" applyAlignment="1">
      <alignment horizontal="left" wrapText="1" indent="4"/>
    </xf>
    <xf numFmtId="0" fontId="4" fillId="0" borderId="53" xfId="0" applyFont="1" applyBorder="1" applyAlignment="1">
      <alignment horizontal="left" wrapText="1" indent="4"/>
    </xf>
    <xf numFmtId="168" fontId="0" fillId="0" borderId="35" xfId="0" applyNumberFormat="1" applyBorder="1" applyAlignment="1" applyProtection="1">
      <alignment horizontal="left" vertical="center"/>
      <protection locked="0" hidden="1"/>
    </xf>
    <xf numFmtId="167" fontId="54" fillId="0" borderId="53" xfId="0" applyNumberFormat="1" applyFont="1" applyBorder="1" applyAlignment="1">
      <alignment horizontal="right" vertical="center" wrapText="1"/>
    </xf>
    <xf numFmtId="167" fontId="4" fillId="0" borderId="53" xfId="0" applyNumberFormat="1" applyFont="1" applyBorder="1" applyAlignment="1" applyProtection="1">
      <alignment horizontal="center" vertical="center"/>
      <protection locked="0"/>
    </xf>
    <xf numFmtId="167" fontId="4" fillId="0" borderId="54" xfId="0" applyNumberFormat="1" applyFont="1" applyBorder="1" applyAlignment="1" applyProtection="1">
      <alignment horizontal="center" vertical="center"/>
      <protection locked="0"/>
    </xf>
    <xf numFmtId="0" fontId="0" fillId="0" borderId="35" xfId="0" applyBorder="1" applyAlignment="1" applyProtection="1">
      <alignment horizontal="center" vertical="center" wrapText="1"/>
      <protection locked="0" hidden="1"/>
    </xf>
    <xf numFmtId="0" fontId="0" fillId="0" borderId="37" xfId="0" applyBorder="1" applyAlignment="1" applyProtection="1">
      <alignment horizontal="left"/>
      <protection hidden="1"/>
    </xf>
    <xf numFmtId="0" fontId="35" fillId="11" borderId="0" xfId="11" applyFont="1" applyFill="1" applyAlignment="1" applyProtection="1">
      <alignment horizontal="center" vertical="center"/>
      <protection locked="0" hidden="1"/>
    </xf>
    <xf numFmtId="0" fontId="35" fillId="11" borderId="67" xfId="11" applyFont="1" applyFill="1" applyBorder="1" applyAlignment="1" applyProtection="1">
      <alignment horizontal="center" vertical="center"/>
      <protection locked="0" hidden="1"/>
    </xf>
    <xf numFmtId="0" fontId="0" fillId="0" borderId="37" xfId="0" applyBorder="1" applyAlignment="1" applyProtection="1">
      <alignment horizontal="left" vertical="center" wrapText="1"/>
      <protection hidden="1"/>
    </xf>
    <xf numFmtId="0" fontId="0" fillId="0" borderId="67" xfId="0" applyBorder="1" applyAlignment="1" applyProtection="1">
      <alignment horizontal="left" vertical="center" wrapText="1"/>
      <protection hidden="1"/>
    </xf>
    <xf numFmtId="0" fontId="4" fillId="0" borderId="37" xfId="0" applyFont="1" applyBorder="1" applyAlignment="1" applyProtection="1">
      <alignment horizontal="left"/>
      <protection hidden="1"/>
    </xf>
    <xf numFmtId="0" fontId="4" fillId="0" borderId="0" xfId="0" applyFont="1" applyAlignment="1" applyProtection="1">
      <alignment horizontal="left" vertical="center"/>
      <protection hidden="1"/>
    </xf>
    <xf numFmtId="0" fontId="38" fillId="0" borderId="0" xfId="0" applyFont="1" applyAlignment="1" applyProtection="1">
      <alignment horizontal="left" wrapText="1"/>
      <protection hidden="1"/>
    </xf>
    <xf numFmtId="0" fontId="0" fillId="0" borderId="0" xfId="0" applyAlignment="1" applyProtection="1">
      <alignment horizontal="left" wrapText="1"/>
      <protection hidden="1"/>
    </xf>
    <xf numFmtId="0" fontId="4" fillId="0" borderId="39" xfId="0" applyFont="1" applyBorder="1" applyAlignment="1" applyProtection="1">
      <alignment horizontal="left" vertical="center"/>
      <protection hidden="1"/>
    </xf>
    <xf numFmtId="0" fontId="4" fillId="0" borderId="28" xfId="0" applyFont="1" applyBorder="1" applyAlignment="1" applyProtection="1">
      <alignment horizontal="left" vertical="center"/>
      <protection hidden="1"/>
    </xf>
    <xf numFmtId="14" fontId="4" fillId="0" borderId="0" xfId="0" applyNumberFormat="1" applyFont="1" applyAlignment="1" applyProtection="1">
      <alignment horizontal="left" vertical="center"/>
      <protection hidden="1"/>
    </xf>
    <xf numFmtId="0" fontId="4" fillId="0" borderId="0" xfId="0" applyFont="1" applyAlignment="1">
      <alignment horizontal="left" vertical="top" wrapText="1"/>
    </xf>
    <xf numFmtId="0" fontId="46" fillId="0" borderId="37" xfId="0" applyFont="1" applyBorder="1" applyAlignment="1" applyProtection="1">
      <alignment horizontal="left"/>
      <protection hidden="1"/>
    </xf>
    <xf numFmtId="168" fontId="0" fillId="0" borderId="52" xfId="0" applyNumberFormat="1" applyBorder="1" applyAlignment="1" applyProtection="1">
      <alignment horizontal="left" vertical="center"/>
      <protection locked="0" hidden="1"/>
    </xf>
    <xf numFmtId="168" fontId="0" fillId="0" borderId="53" xfId="0" applyNumberFormat="1" applyBorder="1" applyAlignment="1" applyProtection="1">
      <alignment horizontal="left" vertical="center"/>
      <protection locked="0" hidden="1"/>
    </xf>
    <xf numFmtId="168" fontId="0" fillId="0" borderId="54" xfId="0" applyNumberFormat="1" applyBorder="1" applyAlignment="1" applyProtection="1">
      <alignment horizontal="left" vertical="center"/>
      <protection locked="0" hidden="1"/>
    </xf>
    <xf numFmtId="167" fontId="4" fillId="0" borderId="52" xfId="0" applyNumberFormat="1" applyFont="1" applyBorder="1" applyAlignment="1" applyProtection="1">
      <alignment horizontal="center" vertical="center"/>
      <protection hidden="1"/>
    </xf>
    <xf numFmtId="167" fontId="4" fillId="0" borderId="53" xfId="0" applyNumberFormat="1" applyFont="1" applyBorder="1" applyAlignment="1" applyProtection="1">
      <alignment horizontal="center" vertical="center"/>
      <protection hidden="1"/>
    </xf>
    <xf numFmtId="0" fontId="0" fillId="0" borderId="52" xfId="0" applyBorder="1" applyAlignment="1" applyProtection="1">
      <alignment horizontal="center" vertical="center" wrapText="1"/>
      <protection locked="0" hidden="1"/>
    </xf>
    <xf numFmtId="0" fontId="0" fillId="0" borderId="54" xfId="0" applyBorder="1" applyAlignment="1" applyProtection="1">
      <alignment horizontal="center" vertical="center" wrapText="1"/>
      <protection locked="0" hidden="1"/>
    </xf>
    <xf numFmtId="0" fontId="4" fillId="0" borderId="35" xfId="0" applyFont="1" applyBorder="1" applyAlignment="1" applyProtection="1">
      <alignment horizontal="center" vertical="center"/>
      <protection hidden="1"/>
    </xf>
    <xf numFmtId="0" fontId="0" fillId="0" borderId="36" xfId="0" applyBorder="1" applyAlignment="1" applyProtection="1">
      <alignment horizontal="center" vertical="center" wrapText="1"/>
      <protection locked="0" hidden="1"/>
    </xf>
    <xf numFmtId="0" fontId="0" fillId="0" borderId="38" xfId="0" applyBorder="1" applyAlignment="1" applyProtection="1">
      <alignment horizontal="center" vertical="center" wrapText="1"/>
      <protection locked="0" hidden="1"/>
    </xf>
    <xf numFmtId="0" fontId="10" fillId="0" borderId="52" xfId="0" applyFont="1" applyBorder="1" applyAlignment="1" applyProtection="1">
      <alignment horizontal="left" vertical="center" wrapText="1"/>
      <protection locked="0" hidden="1"/>
    </xf>
    <xf numFmtId="0" fontId="10" fillId="0" borderId="53" xfId="0" applyFont="1" applyBorder="1" applyAlignment="1" applyProtection="1">
      <alignment horizontal="left" vertical="center" wrapText="1"/>
      <protection locked="0" hidden="1"/>
    </xf>
    <xf numFmtId="0" fontId="10" fillId="0" borderId="54" xfId="0" applyFont="1" applyBorder="1" applyAlignment="1" applyProtection="1">
      <alignment horizontal="left" vertical="center" wrapText="1"/>
      <protection locked="0" hidden="1"/>
    </xf>
    <xf numFmtId="0" fontId="12" fillId="0" borderId="35" xfId="0" applyFont="1" applyBorder="1" applyAlignment="1" applyProtection="1">
      <alignment horizontal="left" vertical="center" wrapText="1"/>
      <protection hidden="1"/>
    </xf>
    <xf numFmtId="0" fontId="12" fillId="0" borderId="52" xfId="0" applyFont="1" applyBorder="1" applyAlignment="1" applyProtection="1">
      <alignment horizontal="left" vertical="center" wrapText="1"/>
      <protection hidden="1"/>
    </xf>
    <xf numFmtId="0" fontId="0" fillId="0" borderId="52" xfId="0" applyBorder="1" applyAlignment="1" applyProtection="1">
      <alignment horizontal="left" vertical="center" wrapText="1"/>
      <protection locked="0" hidden="1"/>
    </xf>
    <xf numFmtId="167" fontId="4" fillId="0" borderId="109" xfId="0" applyNumberFormat="1" applyFont="1" applyBorder="1" applyAlignment="1" applyProtection="1">
      <alignment horizontal="center" vertical="center"/>
      <protection hidden="1"/>
    </xf>
    <xf numFmtId="167" fontId="4" fillId="0" borderId="110" xfId="0" applyNumberFormat="1" applyFont="1" applyBorder="1" applyAlignment="1" applyProtection="1">
      <alignment horizontal="center" vertical="center"/>
      <protection hidden="1"/>
    </xf>
    <xf numFmtId="167" fontId="4" fillId="0" borderId="110" xfId="0" applyNumberFormat="1" applyFont="1" applyBorder="1" applyAlignment="1" applyProtection="1">
      <alignment horizontal="center" vertical="center"/>
      <protection locked="0"/>
    </xf>
    <xf numFmtId="167" fontId="4" fillId="0" borderId="111" xfId="0" applyNumberFormat="1" applyFont="1" applyBorder="1" applyAlignment="1" applyProtection="1">
      <alignment horizontal="center" vertical="center"/>
      <protection locked="0"/>
    </xf>
    <xf numFmtId="167" fontId="54" fillId="0" borderId="110" xfId="0" applyNumberFormat="1" applyFont="1" applyBorder="1" applyAlignment="1">
      <alignment horizontal="right" vertical="center" wrapText="1"/>
    </xf>
    <xf numFmtId="0" fontId="4" fillId="0" borderId="39" xfId="0" applyFont="1" applyBorder="1" applyAlignment="1">
      <alignment horizontal="left" vertical="top"/>
    </xf>
    <xf numFmtId="0" fontId="4" fillId="0" borderId="0" xfId="0" applyFont="1" applyAlignment="1">
      <alignment horizontal="left" vertical="top"/>
    </xf>
    <xf numFmtId="0" fontId="51" fillId="0" borderId="52" xfId="3" applyFont="1" applyBorder="1" applyAlignment="1" applyProtection="1">
      <alignment horizontal="left" vertical="center" wrapText="1"/>
      <protection locked="0" hidden="1"/>
    </xf>
    <xf numFmtId="0" fontId="51" fillId="0" borderId="53" xfId="3" applyFont="1" applyBorder="1" applyAlignment="1" applyProtection="1">
      <alignment horizontal="left" vertical="center" wrapText="1"/>
      <protection locked="0" hidden="1"/>
    </xf>
    <xf numFmtId="0" fontId="51" fillId="0" borderId="54" xfId="3" applyFont="1" applyBorder="1" applyAlignment="1" applyProtection="1">
      <alignment horizontal="left" vertical="center" wrapText="1"/>
      <protection locked="0" hidden="1"/>
    </xf>
    <xf numFmtId="0" fontId="27" fillId="0" borderId="35" xfId="0" applyFont="1" applyBorder="1" applyAlignment="1" applyProtection="1">
      <alignment horizontal="left" vertical="center" wrapText="1"/>
      <protection hidden="1"/>
    </xf>
    <xf numFmtId="0" fontId="26" fillId="0" borderId="52" xfId="0" applyFont="1" applyBorder="1" applyAlignment="1">
      <alignment horizontal="left" vertical="center" wrapText="1"/>
    </xf>
    <xf numFmtId="0" fontId="26" fillId="0" borderId="54" xfId="0" applyFont="1" applyBorder="1" applyAlignment="1">
      <alignment horizontal="left" vertical="center" wrapText="1"/>
    </xf>
    <xf numFmtId="0" fontId="0" fillId="0" borderId="116" xfId="0" applyBorder="1" applyAlignment="1" applyProtection="1">
      <alignment horizontal="left" vertical="center" wrapText="1"/>
      <protection hidden="1"/>
    </xf>
    <xf numFmtId="0" fontId="0" fillId="0" borderId="113" xfId="0" applyBorder="1" applyAlignment="1" applyProtection="1">
      <alignment horizontal="left" vertical="center" wrapText="1"/>
      <protection hidden="1"/>
    </xf>
    <xf numFmtId="0" fontId="4" fillId="0" borderId="53" xfId="0" applyFont="1" applyBorder="1" applyAlignment="1" applyProtection="1">
      <alignment horizontal="left" vertical="center" wrapText="1"/>
      <protection hidden="1"/>
    </xf>
    <xf numFmtId="0" fontId="0" fillId="0" borderId="50" xfId="0" applyBorder="1" applyAlignment="1" applyProtection="1">
      <alignment horizontal="left" vertical="center" wrapText="1"/>
      <protection locked="0" hidden="1"/>
    </xf>
    <xf numFmtId="0" fontId="0" fillId="0" borderId="67" xfId="0" applyBorder="1" applyAlignment="1" applyProtection="1">
      <alignment horizontal="left" vertical="center" wrapText="1"/>
      <protection locked="0" hidden="1"/>
    </xf>
    <xf numFmtId="0" fontId="0" fillId="0" borderId="51" xfId="0" applyBorder="1" applyAlignment="1" applyProtection="1">
      <alignment horizontal="left" vertical="center" wrapText="1"/>
      <protection locked="0" hidden="1"/>
    </xf>
    <xf numFmtId="0" fontId="0" fillId="0" borderId="52" xfId="3" applyFont="1" applyBorder="1" applyAlignment="1" applyProtection="1">
      <alignment horizontal="left" vertical="center" wrapText="1"/>
      <protection locked="0" hidden="1"/>
    </xf>
    <xf numFmtId="0" fontId="0" fillId="0" borderId="53" xfId="3" applyFont="1" applyBorder="1" applyAlignment="1" applyProtection="1">
      <alignment horizontal="left" vertical="center" wrapText="1"/>
      <protection locked="0" hidden="1"/>
    </xf>
    <xf numFmtId="0" fontId="0" fillId="0" borderId="54" xfId="3" applyFont="1" applyBorder="1" applyAlignment="1" applyProtection="1">
      <alignment horizontal="left" vertical="center" wrapText="1"/>
      <protection locked="0" hidden="1"/>
    </xf>
    <xf numFmtId="0" fontId="27" fillId="0" borderId="52" xfId="0" applyFont="1" applyBorder="1" applyAlignment="1" applyProtection="1">
      <alignment horizontal="left" vertical="center" wrapText="1"/>
      <protection hidden="1"/>
    </xf>
    <xf numFmtId="0" fontId="27" fillId="0" borderId="53" xfId="0" applyFont="1" applyBorder="1" applyAlignment="1" applyProtection="1">
      <alignment horizontal="left" vertical="center" wrapText="1"/>
      <protection hidden="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4" fillId="0" borderId="52" xfId="0" applyFont="1" applyBorder="1" applyAlignment="1" applyProtection="1">
      <alignment wrapText="1"/>
      <protection hidden="1"/>
    </xf>
    <xf numFmtId="0" fontId="4" fillId="0" borderId="53" xfId="0" applyFont="1" applyBorder="1" applyAlignment="1" applyProtection="1">
      <alignment wrapText="1"/>
      <protection hidden="1"/>
    </xf>
    <xf numFmtId="0" fontId="27" fillId="0" borderId="52" xfId="0" applyFont="1" applyBorder="1" applyAlignment="1" applyProtection="1">
      <alignment vertical="center" wrapText="1"/>
      <protection hidden="1"/>
    </xf>
    <xf numFmtId="0" fontId="27" fillId="0" borderId="53" xfId="0" applyFont="1" applyBorder="1" applyAlignment="1" applyProtection="1">
      <alignment vertical="center" wrapText="1"/>
      <protection hidden="1"/>
    </xf>
    <xf numFmtId="0" fontId="4" fillId="0" borderId="52" xfId="0" applyFont="1" applyBorder="1" applyAlignment="1" applyProtection="1">
      <alignment horizontal="left" wrapText="1"/>
      <protection hidden="1"/>
    </xf>
    <xf numFmtId="0" fontId="4" fillId="0" borderId="53" xfId="0" applyFont="1" applyBorder="1" applyAlignment="1" applyProtection="1">
      <alignment horizontal="left" wrapText="1"/>
      <protection hidden="1"/>
    </xf>
    <xf numFmtId="167" fontId="4" fillId="0" borderId="113" xfId="0" applyNumberFormat="1" applyFont="1" applyBorder="1" applyAlignment="1" applyProtection="1">
      <alignment horizontal="center" vertical="center"/>
      <protection locked="0"/>
    </xf>
    <xf numFmtId="167" fontId="4" fillId="0" borderId="114" xfId="0" applyNumberFormat="1" applyFont="1" applyBorder="1" applyAlignment="1" applyProtection="1">
      <alignment horizontal="center" vertical="center"/>
      <protection locked="0"/>
    </xf>
    <xf numFmtId="168" fontId="0" fillId="0" borderId="50" xfId="0" applyNumberFormat="1" applyBorder="1" applyAlignment="1" applyProtection="1">
      <alignment horizontal="left" vertical="center"/>
      <protection locked="0" hidden="1"/>
    </xf>
    <xf numFmtId="168" fontId="0" fillId="0" borderId="67" xfId="0" applyNumberFormat="1" applyBorder="1" applyAlignment="1" applyProtection="1">
      <alignment horizontal="left" vertical="center"/>
      <protection locked="0" hidden="1"/>
    </xf>
    <xf numFmtId="168" fontId="0" fillId="0" borderId="51" xfId="0" applyNumberFormat="1" applyBorder="1" applyAlignment="1" applyProtection="1">
      <alignment horizontal="left" vertical="center"/>
      <protection locked="0" hidden="1"/>
    </xf>
    <xf numFmtId="0" fontId="4" fillId="0" borderId="68" xfId="0" applyFont="1" applyBorder="1" applyAlignment="1" applyProtection="1">
      <alignment horizontal="center" vertical="center"/>
      <protection hidden="1"/>
    </xf>
    <xf numFmtId="168" fontId="0" fillId="0" borderId="68" xfId="0" applyNumberFormat="1" applyBorder="1" applyAlignment="1" applyProtection="1">
      <alignment horizontal="left" vertical="center"/>
      <protection locked="0" hidden="1"/>
    </xf>
    <xf numFmtId="172" fontId="4" fillId="0" borderId="112" xfId="0" applyNumberFormat="1" applyFont="1" applyBorder="1" applyAlignment="1" applyProtection="1">
      <alignment horizontal="center" vertical="center"/>
      <protection hidden="1"/>
    </xf>
    <xf numFmtId="172" fontId="4" fillId="0" borderId="113" xfId="0" applyNumberFormat="1" applyFont="1" applyBorder="1" applyAlignment="1" applyProtection="1">
      <alignment horizontal="center" vertical="center"/>
      <protection hidden="1"/>
    </xf>
    <xf numFmtId="167" fontId="54" fillId="0" borderId="113" xfId="0" applyNumberFormat="1" applyFont="1" applyBorder="1" applyAlignment="1">
      <alignment horizontal="right" vertical="center" wrapText="1"/>
    </xf>
    <xf numFmtId="0" fontId="15" fillId="0" borderId="109" xfId="0" applyFont="1" applyBorder="1" applyAlignment="1" applyProtection="1">
      <alignment horizontal="left" vertical="center" wrapText="1"/>
      <protection hidden="1"/>
    </xf>
    <xf numFmtId="0" fontId="15" fillId="0" borderId="110" xfId="0" applyFont="1" applyBorder="1" applyAlignment="1" applyProtection="1">
      <alignment horizontal="left" vertical="center" wrapText="1"/>
      <protection hidden="1"/>
    </xf>
    <xf numFmtId="0" fontId="15" fillId="0" borderId="111" xfId="0" applyFont="1" applyBorder="1" applyAlignment="1" applyProtection="1">
      <alignment horizontal="left" vertical="center" wrapText="1"/>
      <protection hidden="1"/>
    </xf>
    <xf numFmtId="0" fontId="17" fillId="0" borderId="52" xfId="0" applyFont="1" applyBorder="1" applyAlignment="1" applyProtection="1">
      <alignment horizontal="left" vertical="center" wrapText="1"/>
      <protection locked="0" hidden="1"/>
    </xf>
    <xf numFmtId="0" fontId="17" fillId="0" borderId="53" xfId="0" applyFont="1" applyBorder="1" applyAlignment="1" applyProtection="1">
      <alignment horizontal="left" vertical="center" wrapText="1"/>
      <protection locked="0" hidden="1"/>
    </xf>
    <xf numFmtId="0" fontId="17" fillId="0" borderId="130" xfId="0" applyFont="1" applyBorder="1" applyAlignment="1" applyProtection="1">
      <alignment horizontal="left" vertical="center" wrapText="1"/>
      <protection locked="0" hidden="1"/>
    </xf>
    <xf numFmtId="0" fontId="10" fillId="0" borderId="52" xfId="0" applyFont="1" applyBorder="1" applyAlignment="1" applyProtection="1">
      <alignment vertical="center" wrapText="1"/>
      <protection hidden="1"/>
    </xf>
    <xf numFmtId="0" fontId="10" fillId="0" borderId="53" xfId="0" applyFont="1" applyBorder="1" applyAlignment="1" applyProtection="1">
      <alignment vertical="center" wrapText="1"/>
      <protection hidden="1"/>
    </xf>
    <xf numFmtId="0" fontId="10" fillId="0" borderId="54" xfId="0" applyFont="1" applyBorder="1" applyAlignment="1" applyProtection="1">
      <alignment vertical="center" wrapText="1"/>
      <protection hidden="1"/>
    </xf>
    <xf numFmtId="0" fontId="4" fillId="0" borderId="0" xfId="0" applyFont="1" applyAlignment="1" applyProtection="1">
      <alignment horizontal="right" vertical="top"/>
      <protection hidden="1"/>
    </xf>
    <xf numFmtId="0" fontId="17" fillId="5" borderId="39" xfId="1" applyFont="1" applyFill="1" applyBorder="1" applyAlignment="1" applyProtection="1">
      <alignment horizontal="left"/>
      <protection hidden="1"/>
    </xf>
    <xf numFmtId="0" fontId="17" fillId="5" borderId="0" xfId="1" applyFont="1" applyFill="1" applyBorder="1" applyAlignment="1" applyProtection="1">
      <alignment horizontal="left"/>
      <protection hidden="1"/>
    </xf>
    <xf numFmtId="0" fontId="17" fillId="5" borderId="41" xfId="1" applyFont="1" applyFill="1" applyBorder="1" applyAlignment="1" applyProtection="1">
      <alignment horizontal="left"/>
      <protection hidden="1"/>
    </xf>
    <xf numFmtId="0" fontId="42" fillId="0" borderId="52" xfId="0" applyFont="1" applyBorder="1" applyAlignment="1" applyProtection="1">
      <alignment horizontal="left"/>
      <protection hidden="1"/>
    </xf>
    <xf numFmtId="0" fontId="42" fillId="0" borderId="53" xfId="0" applyFont="1" applyBorder="1" applyAlignment="1" applyProtection="1">
      <alignment horizontal="left"/>
      <protection hidden="1"/>
    </xf>
    <xf numFmtId="166" fontId="15" fillId="0" borderId="53" xfId="0" applyNumberFormat="1" applyFont="1" applyBorder="1" applyAlignment="1" applyProtection="1">
      <alignment horizontal="left"/>
      <protection hidden="1"/>
    </xf>
    <xf numFmtId="0" fontId="0" fillId="0" borderId="0" xfId="0" applyAlignment="1" applyProtection="1">
      <alignment horizontal="right" vertical="top"/>
      <protection hidden="1"/>
    </xf>
    <xf numFmtId="0" fontId="10" fillId="0" borderId="52" xfId="0" applyFont="1" applyBorder="1" applyAlignment="1" applyProtection="1">
      <alignment vertical="center"/>
      <protection hidden="1"/>
    </xf>
    <xf numFmtId="0" fontId="10" fillId="0" borderId="53" xfId="0" applyFont="1" applyBorder="1" applyAlignment="1" applyProtection="1">
      <alignment vertical="center"/>
      <protection hidden="1"/>
    </xf>
    <xf numFmtId="0" fontId="10" fillId="0" borderId="54" xfId="0" applyFont="1" applyBorder="1" applyAlignment="1" applyProtection="1">
      <alignment vertical="center"/>
      <protection hidden="1"/>
    </xf>
    <xf numFmtId="0" fontId="15" fillId="0" borderId="70" xfId="0" applyFont="1" applyBorder="1" applyAlignment="1" applyProtection="1">
      <alignment horizontal="center" vertical="center" wrapText="1"/>
      <protection locked="0" hidden="1"/>
    </xf>
    <xf numFmtId="0" fontId="15" fillId="0" borderId="68" xfId="0" applyFont="1" applyBorder="1" applyAlignment="1" applyProtection="1">
      <alignment horizontal="center" vertical="center" wrapText="1"/>
      <protection locked="0" hidden="1"/>
    </xf>
    <xf numFmtId="0" fontId="10" fillId="0" borderId="36" xfId="0" applyFont="1" applyBorder="1" applyAlignment="1" applyProtection="1">
      <alignment horizontal="left" vertical="center" wrapText="1"/>
      <protection hidden="1"/>
    </xf>
    <xf numFmtId="0" fontId="10" fillId="0" borderId="37" xfId="0" applyFont="1" applyBorder="1" applyAlignment="1" applyProtection="1">
      <alignment horizontal="left" vertical="center" wrapText="1"/>
      <protection hidden="1"/>
    </xf>
    <xf numFmtId="0" fontId="10" fillId="0" borderId="38" xfId="0" applyFont="1" applyBorder="1" applyAlignment="1" applyProtection="1">
      <alignment horizontal="left" vertical="center" wrapText="1"/>
      <protection hidden="1"/>
    </xf>
    <xf numFmtId="0" fontId="10" fillId="0" borderId="50" xfId="0" applyFont="1" applyBorder="1" applyAlignment="1" applyProtection="1">
      <alignment horizontal="left" vertical="center" wrapText="1"/>
      <protection hidden="1"/>
    </xf>
    <xf numFmtId="0" fontId="10" fillId="0" borderId="67" xfId="0" applyFont="1" applyBorder="1" applyAlignment="1" applyProtection="1">
      <alignment horizontal="left" vertical="center" wrapText="1"/>
      <protection hidden="1"/>
    </xf>
    <xf numFmtId="0" fontId="10" fillId="0" borderId="51" xfId="0" applyFont="1" applyBorder="1" applyAlignment="1" applyProtection="1">
      <alignment horizontal="left" vertical="center" wrapText="1"/>
      <protection hidden="1"/>
    </xf>
    <xf numFmtId="0" fontId="10" fillId="0" borderId="52" xfId="0" applyFont="1" applyBorder="1" applyAlignment="1" applyProtection="1">
      <alignment horizontal="left" vertical="center" wrapText="1"/>
      <protection hidden="1"/>
    </xf>
    <xf numFmtId="0" fontId="10" fillId="0" borderId="53" xfId="0" applyFont="1" applyBorder="1" applyAlignment="1" applyProtection="1">
      <alignment horizontal="left" vertical="center" wrapText="1"/>
      <protection hidden="1"/>
    </xf>
    <xf numFmtId="0" fontId="10" fillId="0" borderId="54" xfId="0" applyFont="1" applyBorder="1" applyAlignment="1" applyProtection="1">
      <alignment horizontal="left" vertical="center" wrapText="1"/>
      <protection hidden="1"/>
    </xf>
    <xf numFmtId="0" fontId="0" fillId="0" borderId="37" xfId="0" applyBorder="1" applyAlignment="1" applyProtection="1">
      <alignment horizontal="center"/>
      <protection hidden="1"/>
    </xf>
    <xf numFmtId="0" fontId="4" fillId="0" borderId="37" xfId="0" applyFont="1" applyBorder="1" applyAlignment="1" applyProtection="1">
      <alignment horizontal="left"/>
      <protection locked="0" hidden="1"/>
    </xf>
    <xf numFmtId="168" fontId="0" fillId="0" borderId="37" xfId="0" applyNumberFormat="1" applyBorder="1" applyAlignment="1" applyProtection="1">
      <alignment horizontal="left"/>
      <protection locked="0" hidden="1"/>
    </xf>
    <xf numFmtId="0" fontId="15" fillId="0" borderId="70" xfId="0" applyFont="1" applyBorder="1" applyAlignment="1" applyProtection="1">
      <alignment horizontal="left" vertical="center"/>
      <protection hidden="1"/>
    </xf>
    <xf numFmtId="0" fontId="15" fillId="0" borderId="38" xfId="0" applyFont="1" applyBorder="1" applyAlignment="1" applyProtection="1">
      <alignment horizontal="left" vertical="center"/>
      <protection hidden="1"/>
    </xf>
    <xf numFmtId="0" fontId="15" fillId="0" borderId="36" xfId="0" applyFont="1" applyBorder="1" applyAlignment="1" applyProtection="1">
      <alignment horizontal="left" vertical="center" wrapText="1"/>
      <protection locked="0" hidden="1"/>
    </xf>
    <xf numFmtId="0" fontId="15" fillId="0" borderId="37" xfId="0" applyFont="1" applyBorder="1" applyAlignment="1" applyProtection="1">
      <alignment horizontal="left" vertical="center" wrapText="1"/>
      <protection locked="0" hidden="1"/>
    </xf>
    <xf numFmtId="0" fontId="15" fillId="0" borderId="38" xfId="0" applyFont="1" applyBorder="1" applyAlignment="1" applyProtection="1">
      <alignment horizontal="left" vertical="center" wrapText="1"/>
      <protection locked="0" hidden="1"/>
    </xf>
    <xf numFmtId="0" fontId="15" fillId="0" borderId="35" xfId="0" applyFont="1" applyBorder="1" applyAlignment="1" applyProtection="1">
      <alignment horizontal="left" vertical="center"/>
      <protection hidden="1"/>
    </xf>
    <xf numFmtId="0" fontId="50" fillId="0" borderId="52" xfId="0" applyFont="1" applyBorder="1" applyAlignment="1" applyProtection="1">
      <alignment vertical="center" wrapText="1"/>
      <protection locked="0" hidden="1"/>
    </xf>
    <xf numFmtId="0" fontId="50" fillId="0" borderId="53" xfId="0" applyFont="1" applyBorder="1" applyAlignment="1" applyProtection="1">
      <alignment vertical="center" wrapText="1"/>
      <protection locked="0" hidden="1"/>
    </xf>
    <xf numFmtId="0" fontId="10" fillId="0" borderId="52" xfId="0" applyFont="1" applyBorder="1" applyAlignment="1" applyProtection="1">
      <alignment horizontal="center" vertical="center" wrapText="1"/>
      <protection hidden="1"/>
    </xf>
    <xf numFmtId="0" fontId="10" fillId="0" borderId="53" xfId="0" applyFont="1" applyBorder="1" applyAlignment="1" applyProtection="1">
      <alignment horizontal="center" vertical="center" wrapText="1"/>
      <protection hidden="1"/>
    </xf>
    <xf numFmtId="0" fontId="10" fillId="0" borderId="54" xfId="0" applyFont="1" applyBorder="1" applyAlignment="1" applyProtection="1">
      <alignment horizontal="center" vertical="center" wrapText="1"/>
      <protection hidden="1"/>
    </xf>
    <xf numFmtId="168" fontId="15" fillId="0" borderId="52" xfId="3" applyNumberFormat="1" applyFont="1" applyBorder="1" applyAlignment="1" applyProtection="1">
      <alignment horizontal="left" vertical="center" wrapText="1"/>
      <protection locked="0" hidden="1"/>
    </xf>
    <xf numFmtId="168" fontId="15" fillId="0" borderId="53" xfId="3" applyNumberFormat="1" applyFont="1" applyBorder="1" applyAlignment="1" applyProtection="1">
      <alignment horizontal="left" vertical="center" wrapText="1"/>
      <protection locked="0" hidden="1"/>
    </xf>
    <xf numFmtId="168" fontId="15" fillId="0" borderId="54" xfId="3" applyNumberFormat="1" applyFont="1" applyBorder="1" applyAlignment="1" applyProtection="1">
      <alignment horizontal="left" vertical="center" wrapText="1"/>
      <protection locked="0" hidden="1"/>
    </xf>
    <xf numFmtId="168" fontId="15" fillId="11" borderId="52" xfId="3" applyNumberFormat="1" applyFont="1" applyFill="1" applyBorder="1" applyAlignment="1" applyProtection="1">
      <alignment horizontal="left" vertical="center" wrapText="1"/>
      <protection locked="0" hidden="1"/>
    </xf>
    <xf numFmtId="168" fontId="15" fillId="11" borderId="53" xfId="3" applyNumberFormat="1" applyFont="1" applyFill="1" applyBorder="1" applyAlignment="1" applyProtection="1">
      <alignment horizontal="left" vertical="center" wrapText="1"/>
      <protection locked="0" hidden="1"/>
    </xf>
    <xf numFmtId="168" fontId="15" fillId="15" borderId="52" xfId="3" applyNumberFormat="1" applyFont="1" applyFill="1" applyBorder="1" applyAlignment="1" applyProtection="1">
      <alignment horizontal="left" vertical="center" wrapText="1"/>
      <protection hidden="1"/>
    </xf>
    <xf numFmtId="168" fontId="15" fillId="15" borderId="53" xfId="3" applyNumberFormat="1" applyFont="1" applyFill="1" applyBorder="1" applyAlignment="1" applyProtection="1">
      <alignment horizontal="left" vertical="center" wrapText="1"/>
      <protection hidden="1"/>
    </xf>
    <xf numFmtId="168" fontId="15" fillId="15" borderId="54" xfId="3" applyNumberFormat="1" applyFont="1" applyFill="1" applyBorder="1" applyAlignment="1" applyProtection="1">
      <alignment horizontal="left" vertical="center" wrapText="1"/>
      <protection hidden="1"/>
    </xf>
    <xf numFmtId="0" fontId="15" fillId="0" borderId="36" xfId="0" applyFont="1" applyBorder="1" applyAlignment="1" applyProtection="1">
      <alignment horizontal="left" vertical="center"/>
      <protection hidden="1"/>
    </xf>
    <xf numFmtId="0" fontId="15" fillId="0" borderId="39" xfId="0" applyFont="1" applyBorder="1" applyAlignment="1" applyProtection="1">
      <alignment horizontal="left" vertical="center"/>
      <protection hidden="1"/>
    </xf>
    <xf numFmtId="0" fontId="15" fillId="0" borderId="41" xfId="0" applyFont="1" applyBorder="1" applyAlignment="1" applyProtection="1">
      <alignment horizontal="left" vertical="center"/>
      <protection hidden="1"/>
    </xf>
    <xf numFmtId="0" fontId="15" fillId="0" borderId="50" xfId="0" applyFont="1" applyBorder="1" applyAlignment="1" applyProtection="1">
      <alignment horizontal="left" vertical="center"/>
      <protection hidden="1"/>
    </xf>
    <xf numFmtId="0" fontId="15" fillId="0" borderId="51" xfId="0" applyFont="1" applyBorder="1" applyAlignment="1" applyProtection="1">
      <alignment horizontal="left" vertical="center"/>
      <protection hidden="1"/>
    </xf>
    <xf numFmtId="0" fontId="15" fillId="0" borderId="36" xfId="3" applyFont="1" applyBorder="1" applyAlignment="1" applyProtection="1">
      <alignment horizontal="left" vertical="top" wrapText="1"/>
      <protection locked="0" hidden="1"/>
    </xf>
    <xf numFmtId="0" fontId="15" fillId="0" borderId="37" xfId="3" applyFont="1" applyBorder="1" applyAlignment="1" applyProtection="1">
      <alignment horizontal="left" vertical="top" wrapText="1"/>
      <protection locked="0" hidden="1"/>
    </xf>
    <xf numFmtId="0" fontId="15" fillId="0" borderId="38" xfId="3" applyFont="1" applyBorder="1" applyAlignment="1" applyProtection="1">
      <alignment horizontal="left" vertical="top" wrapText="1"/>
      <protection locked="0" hidden="1"/>
    </xf>
    <xf numFmtId="0" fontId="15" fillId="0" borderId="39" xfId="3" applyFont="1" applyBorder="1" applyAlignment="1" applyProtection="1">
      <alignment horizontal="left" vertical="top" wrapText="1"/>
      <protection locked="0" hidden="1"/>
    </xf>
    <xf numFmtId="0" fontId="15" fillId="0" borderId="0" xfId="3" applyFont="1" applyBorder="1" applyAlignment="1" applyProtection="1">
      <alignment horizontal="left" vertical="top" wrapText="1"/>
      <protection locked="0" hidden="1"/>
    </xf>
    <xf numFmtId="0" fontId="15" fillId="0" borderId="41" xfId="3" applyFont="1" applyBorder="1" applyAlignment="1" applyProtection="1">
      <alignment horizontal="left" vertical="top" wrapText="1"/>
      <protection locked="0" hidden="1"/>
    </xf>
    <xf numFmtId="0" fontId="15" fillId="0" borderId="50" xfId="3" applyFont="1" applyBorder="1" applyAlignment="1" applyProtection="1">
      <alignment horizontal="left" vertical="top" wrapText="1"/>
      <protection locked="0" hidden="1"/>
    </xf>
    <xf numFmtId="0" fontId="15" fillId="0" borderId="67" xfId="3" applyFont="1" applyBorder="1" applyAlignment="1" applyProtection="1">
      <alignment horizontal="left" vertical="top" wrapText="1"/>
      <protection locked="0" hidden="1"/>
    </xf>
    <xf numFmtId="0" fontId="15" fillId="0" borderId="51" xfId="3" applyFont="1" applyBorder="1" applyAlignment="1" applyProtection="1">
      <alignment horizontal="left" vertical="top" wrapText="1"/>
      <protection locked="0" hidden="1"/>
    </xf>
    <xf numFmtId="0" fontId="46" fillId="0" borderId="38" xfId="0" applyFont="1" applyBorder="1" applyAlignment="1" applyProtection="1">
      <alignment horizontal="left"/>
      <protection hidden="1"/>
    </xf>
    <xf numFmtId="0" fontId="17" fillId="0" borderId="151" xfId="0" applyFont="1" applyBorder="1" applyAlignment="1" applyProtection="1">
      <alignment horizontal="left" vertical="center" wrapText="1"/>
      <protection locked="0" hidden="1"/>
    </xf>
    <xf numFmtId="0" fontId="17" fillId="0" borderId="152" xfId="0" applyFont="1" applyBorder="1" applyAlignment="1" applyProtection="1">
      <alignment horizontal="left" vertical="center" wrapText="1"/>
      <protection locked="0" hidden="1"/>
    </xf>
    <xf numFmtId="0" fontId="17" fillId="0" borderId="153" xfId="0" applyFont="1" applyBorder="1" applyAlignment="1" applyProtection="1">
      <alignment horizontal="left" vertical="center" wrapText="1"/>
      <protection locked="0" hidden="1"/>
    </xf>
    <xf numFmtId="168" fontId="15" fillId="11" borderId="54" xfId="3" applyNumberFormat="1" applyFont="1" applyFill="1" applyBorder="1" applyAlignment="1" applyProtection="1">
      <alignment horizontal="left" vertical="center" wrapText="1"/>
      <protection locked="0" hidden="1"/>
    </xf>
    <xf numFmtId="0" fontId="15" fillId="0" borderId="37" xfId="0" applyFont="1" applyBorder="1" applyAlignment="1" applyProtection="1">
      <alignment horizontal="left" vertical="top" wrapText="1"/>
      <protection locked="0" hidden="1"/>
    </xf>
    <xf numFmtId="0" fontId="15" fillId="0" borderId="0" xfId="0" applyFont="1" applyAlignment="1" applyProtection="1">
      <alignment horizontal="left" vertical="top" wrapText="1"/>
      <protection locked="0" hidden="1"/>
    </xf>
    <xf numFmtId="0" fontId="15" fillId="0" borderId="67" xfId="0" applyFont="1" applyBorder="1" applyAlignment="1" applyProtection="1">
      <alignment horizontal="left" vertical="top" wrapText="1"/>
      <protection locked="0" hidden="1"/>
    </xf>
    <xf numFmtId="0" fontId="40" fillId="0" borderId="36" xfId="3" applyFont="1" applyBorder="1" applyAlignment="1" applyProtection="1">
      <alignment horizontal="center" vertical="center" wrapText="1"/>
      <protection hidden="1"/>
    </xf>
    <xf numFmtId="0" fontId="40" fillId="0" borderId="50" xfId="3" applyFont="1" applyBorder="1" applyAlignment="1" applyProtection="1">
      <alignment horizontal="center" vertical="center" wrapText="1"/>
      <protection hidden="1"/>
    </xf>
    <xf numFmtId="0" fontId="10" fillId="0" borderId="38" xfId="3" applyFont="1" applyBorder="1" applyAlignment="1" applyProtection="1">
      <alignment horizontal="left" vertical="top" wrapText="1"/>
      <protection locked="0" hidden="1"/>
    </xf>
    <xf numFmtId="0" fontId="10" fillId="0" borderId="51" xfId="3" applyFont="1" applyBorder="1" applyAlignment="1" applyProtection="1">
      <alignment horizontal="left" vertical="top" wrapText="1"/>
      <protection locked="0" hidden="1"/>
    </xf>
    <xf numFmtId="0" fontId="10" fillId="0" borderId="36" xfId="0" applyFont="1" applyBorder="1" applyAlignment="1" applyProtection="1">
      <alignment horizontal="left" vertical="center"/>
      <protection hidden="1"/>
    </xf>
    <xf numFmtId="0" fontId="10" fillId="0" borderId="37" xfId="0" applyFont="1" applyBorder="1" applyAlignment="1" applyProtection="1">
      <alignment horizontal="left" vertical="center"/>
      <protection hidden="1"/>
    </xf>
    <xf numFmtId="0" fontId="10" fillId="0" borderId="38" xfId="0" applyFont="1" applyBorder="1" applyAlignment="1" applyProtection="1">
      <alignment horizontal="left" vertical="center"/>
      <protection hidden="1"/>
    </xf>
    <xf numFmtId="0" fontId="10" fillId="0" borderId="50" xfId="0" applyFont="1" applyBorder="1" applyAlignment="1" applyProtection="1">
      <alignment horizontal="left" vertical="center"/>
      <protection hidden="1"/>
    </xf>
    <xf numFmtId="0" fontId="10" fillId="0" borderId="67" xfId="0" applyFont="1" applyBorder="1" applyAlignment="1" applyProtection="1">
      <alignment horizontal="left" vertical="center"/>
      <protection hidden="1"/>
    </xf>
    <xf numFmtId="0" fontId="10" fillId="0" borderId="51" xfId="0" applyFont="1" applyBorder="1" applyAlignment="1" applyProtection="1">
      <alignment horizontal="left" vertical="center"/>
      <protection hidden="1"/>
    </xf>
    <xf numFmtId="0" fontId="41" fillId="0" borderId="35" xfId="0" applyFont="1" applyBorder="1" applyAlignment="1" applyProtection="1">
      <alignment horizontal="left" vertical="center"/>
      <protection hidden="1"/>
    </xf>
    <xf numFmtId="0" fontId="15" fillId="0" borderId="52" xfId="0" applyFont="1" applyBorder="1" applyAlignment="1" applyProtection="1">
      <alignment horizontal="left" vertical="center" wrapText="1"/>
      <protection hidden="1"/>
    </xf>
    <xf numFmtId="0" fontId="15" fillId="0" borderId="54" xfId="0" applyFont="1" applyBorder="1" applyAlignment="1" applyProtection="1">
      <alignment horizontal="left" vertical="center" wrapText="1"/>
      <protection hidden="1"/>
    </xf>
    <xf numFmtId="0" fontId="10" fillId="0" borderId="52" xfId="0" applyFont="1" applyBorder="1" applyAlignment="1" applyProtection="1">
      <alignment horizontal="center" vertical="center" wrapText="1"/>
      <protection locked="0" hidden="1"/>
    </xf>
    <xf numFmtId="0" fontId="10" fillId="0" borderId="53" xfId="0" applyFont="1" applyBorder="1" applyAlignment="1" applyProtection="1">
      <alignment horizontal="center" vertical="center" wrapText="1"/>
      <protection locked="0" hidden="1"/>
    </xf>
    <xf numFmtId="0" fontId="15" fillId="0" borderId="52" xfId="3" applyFont="1" applyBorder="1" applyAlignment="1" applyProtection="1">
      <alignment horizontal="center" vertical="center" wrapText="1"/>
      <protection hidden="1"/>
    </xf>
    <xf numFmtId="0" fontId="15" fillId="0" borderId="54" xfId="3" applyFont="1" applyBorder="1" applyAlignment="1" applyProtection="1">
      <alignment horizontal="center" vertical="center" wrapText="1"/>
      <protection hidden="1"/>
    </xf>
    <xf numFmtId="0" fontId="15" fillId="0" borderId="35" xfId="0" applyFont="1" applyBorder="1" applyAlignment="1" applyProtection="1">
      <alignment horizontal="left" vertical="center" wrapText="1"/>
      <protection hidden="1"/>
    </xf>
    <xf numFmtId="0" fontId="47" fillId="0" borderId="52" xfId="0" applyFont="1" applyBorder="1" applyAlignment="1" applyProtection="1">
      <alignment horizontal="right" vertical="center"/>
      <protection hidden="1"/>
    </xf>
    <xf numFmtId="0" fontId="47" fillId="0" borderId="54" xfId="0" applyFont="1" applyBorder="1" applyAlignment="1" applyProtection="1">
      <alignment horizontal="right" vertical="center"/>
      <protection hidden="1"/>
    </xf>
    <xf numFmtId="0" fontId="17" fillId="0" borderId="52" xfId="0" applyFont="1" applyBorder="1" applyAlignment="1" applyProtection="1">
      <alignment horizontal="left" vertical="center"/>
      <protection hidden="1"/>
    </xf>
    <xf numFmtId="0" fontId="17" fillId="0" borderId="53" xfId="0" applyFont="1" applyBorder="1" applyAlignment="1" applyProtection="1">
      <alignment horizontal="left" vertical="center"/>
      <protection hidden="1"/>
    </xf>
    <xf numFmtId="168" fontId="42" fillId="0" borderId="53" xfId="0" applyNumberFormat="1" applyFont="1" applyBorder="1" applyAlignment="1" applyProtection="1">
      <alignment horizontal="left" vertical="center"/>
      <protection hidden="1"/>
    </xf>
    <xf numFmtId="168" fontId="42" fillId="0" borderId="54" xfId="0" applyNumberFormat="1" applyFont="1" applyBorder="1" applyAlignment="1" applyProtection="1">
      <alignment horizontal="left" vertical="center"/>
      <protection hidden="1"/>
    </xf>
    <xf numFmtId="166" fontId="15" fillId="0" borderId="37" xfId="0" applyNumberFormat="1" applyFont="1" applyBorder="1" applyAlignment="1" applyProtection="1">
      <alignment horizontal="left"/>
      <protection hidden="1"/>
    </xf>
    <xf numFmtId="166" fontId="15" fillId="0" borderId="38" xfId="0" applyNumberFormat="1" applyFont="1" applyBorder="1" applyAlignment="1" applyProtection="1">
      <alignment horizontal="left"/>
      <protection hidden="1"/>
    </xf>
    <xf numFmtId="0" fontId="17" fillId="0" borderId="52" xfId="0" applyFont="1" applyBorder="1" applyAlignment="1" applyProtection="1">
      <alignment horizontal="left" vertical="center"/>
      <protection locked="0" hidden="1"/>
    </xf>
    <xf numFmtId="0" fontId="17" fillId="0" borderId="53" xfId="0" applyFont="1" applyBorder="1" applyAlignment="1" applyProtection="1">
      <alignment horizontal="left" vertical="center"/>
      <protection locked="0" hidden="1"/>
    </xf>
    <xf numFmtId="0" fontId="15" fillId="0" borderId="97" xfId="3" applyNumberFormat="1" applyFont="1" applyBorder="1" applyAlignment="1" applyProtection="1">
      <alignment horizontal="left" vertical="center" wrapText="1"/>
      <protection hidden="1"/>
    </xf>
    <xf numFmtId="0" fontId="15" fillId="0" borderId="128" xfId="3" applyNumberFormat="1" applyFont="1" applyBorder="1" applyAlignment="1" applyProtection="1">
      <alignment horizontal="left" vertical="center" wrapText="1"/>
      <protection hidden="1"/>
    </xf>
    <xf numFmtId="0" fontId="10" fillId="0" borderId="53" xfId="0" applyFont="1" applyBorder="1" applyAlignment="1" applyProtection="1">
      <alignment horizontal="center"/>
      <protection hidden="1"/>
    </xf>
    <xf numFmtId="0" fontId="10" fillId="0" borderId="37" xfId="0" applyFont="1" applyBorder="1" applyAlignment="1" applyProtection="1">
      <alignment horizontal="center"/>
      <protection hidden="1"/>
    </xf>
    <xf numFmtId="0" fontId="10" fillId="0" borderId="38" xfId="0" applyFont="1" applyBorder="1" applyAlignment="1" applyProtection="1">
      <alignment horizontal="center"/>
      <protection hidden="1"/>
    </xf>
    <xf numFmtId="168" fontId="15" fillId="0" borderId="93" xfId="3" applyNumberFormat="1" applyFont="1" applyBorder="1" applyAlignment="1" applyProtection="1">
      <alignment horizontal="left" vertical="center" wrapText="1"/>
      <protection hidden="1"/>
    </xf>
    <xf numFmtId="168" fontId="15" fillId="0" borderId="126" xfId="3" applyNumberFormat="1" applyFont="1" applyBorder="1" applyAlignment="1" applyProtection="1">
      <alignment horizontal="left" vertical="center" wrapText="1"/>
      <protection hidden="1"/>
    </xf>
    <xf numFmtId="168" fontId="15" fillId="0" borderId="91" xfId="3" applyNumberFormat="1" applyFont="1" applyBorder="1" applyAlignment="1" applyProtection="1">
      <alignment horizontal="left" vertical="center" wrapText="1"/>
      <protection hidden="1"/>
    </xf>
    <xf numFmtId="168" fontId="15" fillId="0" borderId="127" xfId="3" applyNumberFormat="1" applyFont="1" applyBorder="1" applyAlignment="1" applyProtection="1">
      <alignment horizontal="left" vertical="center" wrapText="1"/>
      <protection hidden="1"/>
    </xf>
    <xf numFmtId="0" fontId="4" fillId="0" borderId="0" xfId="0" applyFont="1" applyAlignment="1" applyProtection="1">
      <alignment horizontal="center" vertical="center"/>
      <protection hidden="1"/>
    </xf>
    <xf numFmtId="0" fontId="0" fillId="0" borderId="0" xfId="0" applyAlignment="1" applyProtection="1">
      <alignment horizontal="center"/>
      <protection hidden="1"/>
    </xf>
    <xf numFmtId="0" fontId="0" fillId="0" borderId="0" xfId="0" applyAlignment="1" applyProtection="1">
      <alignment horizontal="center" wrapText="1"/>
      <protection hidden="1"/>
    </xf>
    <xf numFmtId="0" fontId="17" fillId="0" borderId="0" xfId="0" applyFont="1" applyAlignment="1">
      <alignment horizontal="right" vertical="center" wrapText="1"/>
    </xf>
    <xf numFmtId="0" fontId="4" fillId="0" borderId="0" xfId="0" applyFont="1" applyAlignment="1">
      <alignment horizontal="right" vertical="center" wrapText="1"/>
    </xf>
    <xf numFmtId="0" fontId="48" fillId="0" borderId="0" xfId="0" applyFont="1" applyAlignment="1" applyProtection="1">
      <alignment horizontal="center" vertical="center" wrapText="1"/>
      <protection hidden="1"/>
    </xf>
    <xf numFmtId="0" fontId="0" fillId="0" borderId="0" xfId="0" applyAlignment="1" applyProtection="1">
      <alignment horizontal="right" wrapText="1"/>
      <protection hidden="1"/>
    </xf>
    <xf numFmtId="0" fontId="0" fillId="0" borderId="0" xfId="0" applyAlignment="1" applyProtection="1">
      <alignment wrapText="1"/>
      <protection hidden="1"/>
    </xf>
    <xf numFmtId="0" fontId="4" fillId="0" borderId="0" xfId="0" applyFont="1" applyAlignment="1" applyProtection="1">
      <alignment horizontal="center" vertical="center" wrapText="1"/>
      <protection hidden="1"/>
    </xf>
    <xf numFmtId="0" fontId="49" fillId="0" borderId="0" xfId="0" applyFont="1" applyAlignment="1" applyProtection="1">
      <alignment horizontal="center" vertical="center"/>
      <protection locked="0"/>
    </xf>
    <xf numFmtId="0" fontId="55" fillId="0" borderId="0" xfId="0" applyFont="1" applyAlignment="1" applyProtection="1">
      <alignment horizontal="center" vertical="center" wrapText="1"/>
      <protection hidden="1"/>
    </xf>
    <xf numFmtId="168" fontId="0" fillId="0" borderId="0" xfId="0" applyNumberFormat="1" applyAlignment="1">
      <alignment horizontal="left" vertical="center"/>
    </xf>
    <xf numFmtId="0" fontId="4" fillId="0" borderId="0" xfId="0" applyFont="1" applyAlignment="1">
      <alignment vertical="center" wrapText="1"/>
    </xf>
    <xf numFmtId="0" fontId="0" fillId="0" borderId="0" xfId="0" applyAlignment="1" applyProtection="1">
      <alignment horizontal="left" vertical="center"/>
      <protection locked="0"/>
    </xf>
    <xf numFmtId="0" fontId="17" fillId="0" borderId="0" xfId="0" applyFont="1" applyAlignment="1">
      <alignment horizontal="left" vertical="center" wrapText="1"/>
    </xf>
  </cellXfs>
  <cellStyles count="14">
    <cellStyle name="40% - Accent1" xfId="6" builtinId="31"/>
    <cellStyle name="60% - Accent1" xfId="7" builtinId="32"/>
    <cellStyle name="Accent1" xfId="4" builtinId="29"/>
    <cellStyle name="Accent2" xfId="13" builtinId="33"/>
    <cellStyle name="Calculation" xfId="5" builtinId="22"/>
    <cellStyle name="Check Cell" xfId="2" builtinId="23"/>
    <cellStyle name="Heading 2" xfId="8" builtinId="17"/>
    <cellStyle name="Heading 3" xfId="1" builtinId="18"/>
    <cellStyle name="Hyperlink" xfId="11" builtinId="8"/>
    <cellStyle name="Normal" xfId="0" builtinId="0"/>
    <cellStyle name="Normal 3" xfId="10" xr:uid="{00000000-0005-0000-0000-00000A000000}"/>
    <cellStyle name="Note" xfId="12" builtinId="10"/>
    <cellStyle name="Output" xfId="9" builtinId="21"/>
    <cellStyle name="Total" xfId="3" builtinId="25"/>
  </cellStyles>
  <dxfs count="145">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ont>
        <strike/>
      </font>
    </dxf>
    <dxf>
      <font>
        <strike/>
      </font>
    </dxf>
    <dxf>
      <fill>
        <patternFill>
          <bgColor rgb="FF92D050"/>
        </patternFill>
      </fill>
    </dxf>
    <dxf>
      <font>
        <strike/>
      </font>
    </dxf>
    <dxf>
      <font>
        <strike/>
      </font>
    </dxf>
    <dxf>
      <font>
        <strike/>
      </font>
    </dxf>
    <dxf>
      <font>
        <strike/>
      </font>
    </dxf>
    <dxf>
      <fill>
        <patternFill>
          <bgColor rgb="FF92D050"/>
        </patternFill>
      </fill>
    </dxf>
    <dxf>
      <fill>
        <patternFill>
          <bgColor rgb="FF92D050"/>
        </patternFill>
      </fill>
    </dxf>
    <dxf>
      <fill>
        <patternFill>
          <bgColor rgb="FF92D050"/>
        </patternFill>
      </fill>
    </dxf>
    <dxf>
      <fill>
        <patternFill>
          <bgColor rgb="FF92D050"/>
        </patternFill>
      </fill>
    </dxf>
    <dxf>
      <font>
        <b/>
        <i val="0"/>
        <color theme="0"/>
      </font>
      <fill>
        <patternFill>
          <bgColor rgb="FFFF0000"/>
        </patternFill>
      </fill>
    </dxf>
    <dxf>
      <font>
        <color rgb="FFFF0000"/>
      </font>
      <fill>
        <patternFill>
          <bgColor theme="0"/>
        </patternFill>
      </fill>
    </dxf>
    <dxf>
      <fill>
        <patternFill>
          <bgColor rgb="FF92D050"/>
        </patternFill>
      </fill>
    </dxf>
    <dxf>
      <fill>
        <patternFill>
          <bgColor theme="3" tint="0.39994506668294322"/>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color theme="0"/>
      </font>
      <fill>
        <patternFill>
          <bgColor rgb="FFFF0000"/>
        </patternFill>
      </fill>
    </dxf>
    <dxf>
      <font>
        <color rgb="FFFF0000"/>
      </font>
      <fill>
        <patternFill>
          <bgColor theme="0"/>
        </patternFill>
      </fill>
    </dxf>
    <dxf>
      <fill>
        <patternFill>
          <bgColor rgb="FF92D050"/>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color rgb="FF9C0006"/>
      </font>
      <fill>
        <patternFill>
          <bgColor rgb="FFFFC7CE"/>
        </patternFill>
      </fill>
    </dxf>
    <dxf>
      <fill>
        <patternFill>
          <bgColor rgb="FF92D050"/>
        </patternFill>
      </fill>
    </dxf>
    <dxf>
      <fill>
        <patternFill>
          <bgColor rgb="FF92D050"/>
        </patternFill>
      </fill>
    </dxf>
    <dxf>
      <fill>
        <patternFill>
          <bgColor rgb="FF00B050"/>
        </patternFill>
      </fill>
    </dxf>
    <dxf>
      <fill>
        <patternFill patternType="lightTrellis">
          <bgColor rgb="FFFF0000"/>
        </patternFill>
      </fill>
    </dxf>
    <dxf>
      <fill>
        <patternFill patternType="lightTrellis">
          <bgColor rgb="FFFF0000"/>
        </patternFill>
      </fill>
    </dxf>
    <dxf>
      <fill>
        <patternFill patternType="lightTrellis">
          <bgColor rgb="FFFF0000"/>
        </patternFill>
      </fill>
    </dxf>
    <dxf>
      <fill>
        <patternFill>
          <bgColor rgb="FF92D050"/>
        </patternFill>
      </fill>
    </dxf>
    <dxf>
      <fill>
        <patternFill>
          <bgColor rgb="FF92D050"/>
        </patternFill>
      </fill>
    </dxf>
    <dxf>
      <fill>
        <patternFill>
          <bgColor rgb="FFFF0000"/>
        </patternFill>
      </fill>
    </dxf>
    <dxf>
      <font>
        <color rgb="FFFF0000"/>
      </font>
    </dxf>
    <dxf>
      <font>
        <color rgb="FFFF0000"/>
      </font>
    </dxf>
    <dxf>
      <font>
        <color rgb="FFFF0000"/>
      </font>
    </dxf>
    <dxf>
      <font>
        <color rgb="FFFF0000"/>
      </font>
    </dxf>
    <dxf>
      <font>
        <color rgb="FFFF0000"/>
      </font>
      <fill>
        <patternFill patternType="none">
          <bgColor auto="1"/>
        </patternFill>
      </fill>
    </dxf>
    <dxf>
      <font>
        <color rgb="FFFF0000"/>
      </font>
    </dxf>
    <dxf>
      <font>
        <color rgb="FFFF0000"/>
      </font>
    </dxf>
    <dxf>
      <font>
        <color rgb="FFFF0000"/>
      </font>
      <fill>
        <patternFill>
          <bgColor theme="0"/>
        </patternFill>
      </fill>
    </dxf>
    <dxf>
      <font>
        <color rgb="FF9C0006"/>
      </font>
      <fill>
        <patternFill>
          <bgColor rgb="FFFFC7CE"/>
        </patternFill>
      </fill>
    </dxf>
    <dxf>
      <font>
        <b/>
        <i val="0"/>
        <strike val="0"/>
        <color theme="0"/>
      </font>
      <fill>
        <patternFill patternType="darkUp">
          <bgColor rgb="FFFF0000"/>
        </patternFill>
      </fill>
    </dxf>
    <dxf>
      <fill>
        <patternFill>
          <bgColor rgb="FF92D050"/>
        </patternFill>
      </fill>
    </dxf>
    <dxf>
      <font>
        <b val="0"/>
        <i val="0"/>
        <color rgb="FFFF0000"/>
      </font>
    </dxf>
    <dxf>
      <fill>
        <patternFill>
          <bgColor rgb="FF92D050"/>
        </patternFill>
      </fill>
    </dxf>
    <dxf>
      <fill>
        <patternFill>
          <bgColor rgb="FF00B050"/>
        </patternFill>
      </fill>
    </dxf>
    <dxf>
      <font>
        <color rgb="FFFF0000"/>
      </font>
      <fill>
        <patternFill>
          <bgColor theme="0"/>
        </patternFill>
      </fill>
    </dxf>
    <dxf>
      <font>
        <color rgb="FF9C0006"/>
      </font>
      <fill>
        <patternFill>
          <bgColor rgb="FFFFC7CE"/>
        </patternFill>
      </fill>
    </dxf>
    <dxf>
      <font>
        <b/>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numFmt numFmtId="0" formatCode="General"/>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b/>
        <i val="0"/>
        <strike val="0"/>
        <condense val="0"/>
        <extend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b/>
        <i val="0"/>
        <strike val="0"/>
        <condense val="0"/>
        <extend val="0"/>
        <outline val="0"/>
        <shadow val="0"/>
        <u val="none"/>
        <vertAlign val="baseline"/>
        <sz val="11"/>
        <color theme="0"/>
        <name val="Arial"/>
        <scheme val="minor"/>
      </font>
      <numFmt numFmtId="0" formatCode="General"/>
      <protection locked="1" hidden="1"/>
    </dxf>
    <dxf>
      <font>
        <b/>
        <i val="0"/>
        <strike val="0"/>
        <condense val="0"/>
        <extend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numFmt numFmtId="1" formatCode="0"/>
      <border diagonalUp="0" diagonalDown="0" outline="0">
        <left style="thin">
          <color rgb="FF3F3F3F"/>
        </left>
        <right style="thin">
          <color rgb="FF3F3F3F"/>
        </right>
        <top style="thin">
          <color rgb="FF3F3F3F"/>
        </top>
        <bottom/>
      </border>
    </dxf>
    <dxf>
      <font>
        <strike val="0"/>
        <outline val="0"/>
        <shadow val="0"/>
        <u val="none"/>
        <vertAlign val="baseline"/>
        <sz val="11"/>
        <color theme="0"/>
        <name val="Arial"/>
        <scheme val="minor"/>
      </font>
      <numFmt numFmtId="1" formatCode="0"/>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Arial"/>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numFmt numFmtId="1" formatCode="0"/>
      <border diagonalUp="0" diagonalDown="0" outline="0">
        <left style="thin">
          <color rgb="FF3F3F3F"/>
        </left>
        <right style="thin">
          <color rgb="FF3F3F3F"/>
        </right>
        <top style="thin">
          <color rgb="FF3F3F3F"/>
        </top>
        <bottom/>
      </border>
    </dxf>
    <dxf>
      <font>
        <strike val="0"/>
        <outline val="0"/>
        <shadow val="0"/>
        <u val="none"/>
        <vertAlign val="baseline"/>
        <sz val="11"/>
        <color theme="0"/>
        <name val="Calibri"/>
        <scheme val="minor"/>
      </font>
      <numFmt numFmtId="1" formatCode="0"/>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numFmt numFmtId="1" formatCode="0"/>
      <border diagonalUp="0" diagonalDown="0" outline="0">
        <left style="thin">
          <color rgb="FF3F3F3F"/>
        </left>
        <right style="thin">
          <color rgb="FF3F3F3F"/>
        </right>
        <top style="thin">
          <color rgb="FF3F3F3F"/>
        </top>
        <bottom/>
      </border>
    </dxf>
    <dxf>
      <font>
        <strike val="0"/>
        <outline val="0"/>
        <shadow val="0"/>
        <u val="none"/>
        <vertAlign val="baseline"/>
        <sz val="11"/>
        <color theme="0"/>
        <name val="Calibri"/>
        <scheme val="minor"/>
      </font>
      <numFmt numFmtId="1" formatCode="0"/>
      <protection locked="1" hidden="1"/>
    </dxf>
    <dxf>
      <font>
        <strike val="0"/>
        <outline val="0"/>
        <shadow val="0"/>
        <u val="none"/>
        <vertAlign val="baseline"/>
        <sz val="11"/>
        <color theme="0"/>
        <name val="Calibri"/>
        <scheme val="minor"/>
      </font>
      <protection locked="1" hidden="1"/>
    </dxf>
    <dxf>
      <font>
        <strike val="0"/>
        <outline val="0"/>
        <shadow val="0"/>
        <u val="none"/>
        <vertAlign val="baseline"/>
        <sz val="11"/>
        <color theme="0"/>
        <name val="Calibri"/>
        <scheme val="minor"/>
      </font>
      <protection locked="1" hidden="1"/>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ill>
        <patternFill>
          <bgColor theme="0" tint="-4.9989318521683403E-2"/>
        </patternFill>
      </fill>
    </dxf>
    <dxf>
      <font>
        <color theme="0"/>
      </font>
      <fill>
        <patternFill>
          <bgColor rgb="FF339966"/>
        </patternFill>
      </fill>
    </dxf>
  </dxfs>
  <tableStyles count="1" defaultTableStyle="TableStyleMedium2" defaultPivotStyle="PivotStyleLight16">
    <tableStyle name="CustomTableStyle" pivot="0" count="2" xr9:uid="{00000000-0011-0000-FFFF-FFFF00000000}">
      <tableStyleElement type="headerRow" dxfId="144"/>
      <tableStyleElement type="firstRowStripe" dxfId="14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1-Questionnaire'!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172222</xdr:colOff>
      <xdr:row>3</xdr:row>
      <xdr:rowOff>220979</xdr:rowOff>
    </xdr:from>
    <xdr:to>
      <xdr:col>10</xdr:col>
      <xdr:colOff>33337</xdr:colOff>
      <xdr:row>13</xdr:row>
      <xdr:rowOff>83820</xdr:rowOff>
    </xdr:to>
    <xdr:grpSp>
      <xdr:nvGrpSpPr>
        <xdr:cNvPr id="10" name="Welcome">
          <a:extLst>
            <a:ext uri="{FF2B5EF4-FFF2-40B4-BE49-F238E27FC236}">
              <a16:creationId xmlns:a16="http://schemas.microsoft.com/office/drawing/2014/main" id="{073643B5-8FAD-4C0B-A889-263209DF32FF}"/>
            </a:ext>
          </a:extLst>
        </xdr:cNvPr>
        <xdr:cNvGrpSpPr/>
      </xdr:nvGrpSpPr>
      <xdr:grpSpPr>
        <a:xfrm>
          <a:off x="781822" y="2078354"/>
          <a:ext cx="5261790" cy="3044191"/>
          <a:chOff x="1177923" y="1596106"/>
          <a:chExt cx="5982984" cy="2609850"/>
        </a:xfrm>
        <a:solidFill>
          <a:schemeClr val="tx2">
            <a:lumMod val="50000"/>
          </a:schemeClr>
        </a:solidFill>
      </xdr:grpSpPr>
      <xdr:sp macro="" textlink="">
        <xdr:nvSpPr>
          <xdr:cNvPr id="11" name="Welcome Box">
            <a:extLst>
              <a:ext uri="{FF2B5EF4-FFF2-40B4-BE49-F238E27FC236}">
                <a16:creationId xmlns:a16="http://schemas.microsoft.com/office/drawing/2014/main" id="{326D55B7-6F8D-8A76-E23C-B6371A8B2C02}"/>
              </a:ext>
            </a:extLst>
          </xdr:cNvPr>
          <xdr:cNvSpPr/>
        </xdr:nvSpPr>
        <xdr:spPr>
          <a:xfrm>
            <a:off x="1179209" y="1596106"/>
            <a:ext cx="5981698" cy="2609850"/>
          </a:xfrm>
          <a:custGeom>
            <a:avLst/>
            <a:gdLst>
              <a:gd name="connsiteX0" fmla="*/ 0 w 3295650"/>
              <a:gd name="connsiteY0" fmla="*/ 0 h 2419350"/>
              <a:gd name="connsiteX1" fmla="*/ 549275 w 3295650"/>
              <a:gd name="connsiteY1" fmla="*/ 0 h 2419350"/>
              <a:gd name="connsiteX2" fmla="*/ 549275 w 3295650"/>
              <a:gd name="connsiteY2" fmla="*/ 0 h 2419350"/>
              <a:gd name="connsiteX3" fmla="*/ 1373188 w 3295650"/>
              <a:gd name="connsiteY3" fmla="*/ 0 h 2419350"/>
              <a:gd name="connsiteX4" fmla="*/ 3295650 w 3295650"/>
              <a:gd name="connsiteY4" fmla="*/ 0 h 2419350"/>
              <a:gd name="connsiteX5" fmla="*/ 3295650 w 3295650"/>
              <a:gd name="connsiteY5" fmla="*/ 403225 h 2419350"/>
              <a:gd name="connsiteX6" fmla="*/ 3295650 w 3295650"/>
              <a:gd name="connsiteY6" fmla="*/ 403225 h 2419350"/>
              <a:gd name="connsiteX7" fmla="*/ 3295650 w 3295650"/>
              <a:gd name="connsiteY7" fmla="*/ 1008063 h 2419350"/>
              <a:gd name="connsiteX8" fmla="*/ 3295650 w 3295650"/>
              <a:gd name="connsiteY8" fmla="*/ 2419350 h 2419350"/>
              <a:gd name="connsiteX9" fmla="*/ 1373188 w 3295650"/>
              <a:gd name="connsiteY9" fmla="*/ 2419350 h 2419350"/>
              <a:gd name="connsiteX10" fmla="*/ 549275 w 3295650"/>
              <a:gd name="connsiteY10" fmla="*/ 2419350 h 2419350"/>
              <a:gd name="connsiteX11" fmla="*/ 549275 w 3295650"/>
              <a:gd name="connsiteY11" fmla="*/ 2419350 h 2419350"/>
              <a:gd name="connsiteX12" fmla="*/ 0 w 3295650"/>
              <a:gd name="connsiteY12" fmla="*/ 2419350 h 2419350"/>
              <a:gd name="connsiteX13" fmla="*/ 0 w 3295650"/>
              <a:gd name="connsiteY13" fmla="*/ 1008063 h 2419350"/>
              <a:gd name="connsiteX14" fmla="*/ -270342 w 3295650"/>
              <a:gd name="connsiteY14" fmla="*/ 658837 h 2419350"/>
              <a:gd name="connsiteX15" fmla="*/ 0 w 3295650"/>
              <a:gd name="connsiteY15" fmla="*/ 403225 h 2419350"/>
              <a:gd name="connsiteX16" fmla="*/ 0 w 3295650"/>
              <a:gd name="connsiteY16" fmla="*/ 0 h 2419350"/>
              <a:gd name="connsiteX0" fmla="*/ 0 w 3295650"/>
              <a:gd name="connsiteY0" fmla="*/ 0 h 2419350"/>
              <a:gd name="connsiteX1" fmla="*/ 549275 w 3295650"/>
              <a:gd name="connsiteY1" fmla="*/ 0 h 2419350"/>
              <a:gd name="connsiteX2" fmla="*/ 549275 w 3295650"/>
              <a:gd name="connsiteY2" fmla="*/ 0 h 2419350"/>
              <a:gd name="connsiteX3" fmla="*/ 1373188 w 3295650"/>
              <a:gd name="connsiteY3" fmla="*/ 0 h 2419350"/>
              <a:gd name="connsiteX4" fmla="*/ 3295650 w 3295650"/>
              <a:gd name="connsiteY4" fmla="*/ 0 h 2419350"/>
              <a:gd name="connsiteX5" fmla="*/ 3295650 w 3295650"/>
              <a:gd name="connsiteY5" fmla="*/ 403225 h 2419350"/>
              <a:gd name="connsiteX6" fmla="*/ 3295650 w 3295650"/>
              <a:gd name="connsiteY6" fmla="*/ 403225 h 2419350"/>
              <a:gd name="connsiteX7" fmla="*/ 3295650 w 3295650"/>
              <a:gd name="connsiteY7" fmla="*/ 1008063 h 2419350"/>
              <a:gd name="connsiteX8" fmla="*/ 3295650 w 3295650"/>
              <a:gd name="connsiteY8" fmla="*/ 2419350 h 2419350"/>
              <a:gd name="connsiteX9" fmla="*/ 1373188 w 3295650"/>
              <a:gd name="connsiteY9" fmla="*/ 2419350 h 2419350"/>
              <a:gd name="connsiteX10" fmla="*/ 549275 w 3295650"/>
              <a:gd name="connsiteY10" fmla="*/ 2419350 h 2419350"/>
              <a:gd name="connsiteX11" fmla="*/ 549275 w 3295650"/>
              <a:gd name="connsiteY11" fmla="*/ 2419350 h 2419350"/>
              <a:gd name="connsiteX12" fmla="*/ 0 w 3295650"/>
              <a:gd name="connsiteY12" fmla="*/ 2419350 h 2419350"/>
              <a:gd name="connsiteX13" fmla="*/ 0 w 3295650"/>
              <a:gd name="connsiteY13" fmla="*/ 1008063 h 2419350"/>
              <a:gd name="connsiteX14" fmla="*/ 5883 w 3295650"/>
              <a:gd name="connsiteY14" fmla="*/ 696937 h 2419350"/>
              <a:gd name="connsiteX15" fmla="*/ 0 w 3295650"/>
              <a:gd name="connsiteY15" fmla="*/ 403225 h 2419350"/>
              <a:gd name="connsiteX16" fmla="*/ 0 w 3295650"/>
              <a:gd name="connsiteY16" fmla="*/ 0 h 24193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295650" h="2419350">
                <a:moveTo>
                  <a:pt x="0" y="0"/>
                </a:moveTo>
                <a:lnTo>
                  <a:pt x="549275" y="0"/>
                </a:lnTo>
                <a:lnTo>
                  <a:pt x="549275" y="0"/>
                </a:lnTo>
                <a:lnTo>
                  <a:pt x="1373188" y="0"/>
                </a:lnTo>
                <a:lnTo>
                  <a:pt x="3295650" y="0"/>
                </a:lnTo>
                <a:lnTo>
                  <a:pt x="3295650" y="403225"/>
                </a:lnTo>
                <a:lnTo>
                  <a:pt x="3295650" y="403225"/>
                </a:lnTo>
                <a:lnTo>
                  <a:pt x="3295650" y="1008063"/>
                </a:lnTo>
                <a:lnTo>
                  <a:pt x="3295650" y="2419350"/>
                </a:lnTo>
                <a:lnTo>
                  <a:pt x="1373188" y="2419350"/>
                </a:lnTo>
                <a:lnTo>
                  <a:pt x="549275" y="2419350"/>
                </a:lnTo>
                <a:lnTo>
                  <a:pt x="549275" y="2419350"/>
                </a:lnTo>
                <a:lnTo>
                  <a:pt x="0" y="2419350"/>
                </a:lnTo>
                <a:lnTo>
                  <a:pt x="0" y="1008063"/>
                </a:lnTo>
                <a:lnTo>
                  <a:pt x="5883" y="696937"/>
                </a:lnTo>
                <a:lnTo>
                  <a:pt x="0" y="403225"/>
                </a:lnTo>
                <a:lnTo>
                  <a:pt x="0" y="0"/>
                </a:lnTo>
                <a:close/>
              </a:path>
            </a:pathLst>
          </a:cu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endParaRPr lang="en-US" sz="3600">
              <a:solidFill>
                <a:schemeClr val="accent1"/>
              </a:solidFill>
              <a:effectLst/>
              <a:latin typeface="Segoe UI" pitchFamily="34" charset="0"/>
              <a:ea typeface="Segoe UI" pitchFamily="34" charset="0"/>
              <a:cs typeface="Segoe UI" pitchFamily="34" charset="0"/>
            </a:endParaRPr>
          </a:p>
          <a:p>
            <a:pPr eaLnBrk="1" fontAlgn="auto" latinLnBrk="0" hangingPunct="1"/>
            <a:endParaRPr lang="en-US" sz="3600">
              <a:solidFill>
                <a:schemeClr val="accent1"/>
              </a:solidFill>
              <a:effectLst/>
              <a:latin typeface="Segoe UI" pitchFamily="34" charset="0"/>
              <a:ea typeface="Segoe UI" pitchFamily="34" charset="0"/>
              <a:cs typeface="Segoe UI" pitchFamily="34" charset="0"/>
            </a:endParaRPr>
          </a:p>
          <a:p>
            <a:r>
              <a:rPr lang="en-US" sz="1100" b="0" i="0" u="none" strike="noStrike" baseline="0">
                <a:solidFill>
                  <a:srgbClr val="FFFF00"/>
                </a:solidFill>
                <a:latin typeface="+mn-lt"/>
                <a:ea typeface="+mn-ea"/>
                <a:cs typeface="+mn-cs"/>
              </a:rPr>
              <a:t>Client's applications against V.10.2 will commence from 10 Dec 2022, then followed the relevant forms.</a:t>
            </a:r>
            <a:endParaRPr lang="en-US" sz="2400">
              <a:solidFill>
                <a:srgbClr val="FFFF00"/>
              </a:solidFill>
              <a:effectLst/>
              <a:latin typeface="Perpetua" panose="02020502060401020303" pitchFamily="18" charset="0"/>
              <a:ea typeface="Segoe UI" pitchFamily="34" charset="0"/>
              <a:cs typeface="Segoe UI" pitchFamily="34" charset="0"/>
            </a:endParaRPr>
          </a:p>
        </xdr:txBody>
      </xdr:sp>
      <xdr:sp macro="" textlink="">
        <xdr:nvSpPr>
          <xdr:cNvPr id="12" name="Next Button">
            <a:hlinkClick xmlns:r="http://schemas.openxmlformats.org/officeDocument/2006/relationships" r:id="rId1"/>
            <a:extLst>
              <a:ext uri="{FF2B5EF4-FFF2-40B4-BE49-F238E27FC236}">
                <a16:creationId xmlns:a16="http://schemas.microsoft.com/office/drawing/2014/main" id="{46A3DCC6-21AD-6056-4CAC-04B9A1C3A139}"/>
              </a:ext>
            </a:extLst>
          </xdr:cNvPr>
          <xdr:cNvSpPr/>
        </xdr:nvSpPr>
        <xdr:spPr>
          <a:xfrm>
            <a:off x="5324476" y="3457575"/>
            <a:ext cx="1200150" cy="387845"/>
          </a:xfrm>
          <a:prstGeom prst="rect">
            <a:avLst/>
          </a:prstGeom>
          <a:grpFill/>
          <a:ln>
            <a:solidFill>
              <a:schemeClr val="accent1">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lang="en-US" sz="1600" b="0" cap="none" spc="0" baseline="0">
                <a:ln>
                  <a:noFill/>
                </a:ln>
                <a:solidFill>
                  <a:schemeClr val="bg1"/>
                </a:solidFill>
                <a:effectLst/>
                <a:latin typeface="Segoe UI" pitchFamily="34" charset="0"/>
                <a:ea typeface="Segoe UI" pitchFamily="34" charset="0"/>
                <a:cs typeface="Segoe UI" pitchFamily="34" charset="0"/>
              </a:rPr>
              <a:t> Let's go &gt;</a:t>
            </a:r>
            <a:endParaRPr lang="en-US" sz="1600" b="0" cap="none" spc="0">
              <a:ln>
                <a:noFill/>
              </a:ln>
              <a:solidFill>
                <a:schemeClr val="bg1"/>
              </a:solidFill>
              <a:effectLst/>
              <a:latin typeface="Segoe UI" pitchFamily="34" charset="0"/>
              <a:ea typeface="Segoe UI" pitchFamily="34" charset="0"/>
              <a:cs typeface="Segoe UI" pitchFamily="34" charset="0"/>
            </a:endParaRPr>
          </a:p>
        </xdr:txBody>
      </xdr:sp>
      <xdr:sp macro="" textlink="">
        <xdr:nvSpPr>
          <xdr:cNvPr id="13" name="Welcome Message">
            <a:extLst>
              <a:ext uri="{FF2B5EF4-FFF2-40B4-BE49-F238E27FC236}">
                <a16:creationId xmlns:a16="http://schemas.microsoft.com/office/drawing/2014/main" id="{EA89377D-3597-F17E-D9FA-20EE654564B1}"/>
              </a:ext>
            </a:extLst>
          </xdr:cNvPr>
          <xdr:cNvSpPr txBox="1"/>
        </xdr:nvSpPr>
        <xdr:spPr>
          <a:xfrm>
            <a:off x="1177923" y="1651504"/>
            <a:ext cx="5798383" cy="138300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000" b="0" i="0" baseline="0">
                <a:solidFill>
                  <a:schemeClr val="bg1"/>
                </a:solidFill>
                <a:effectLst/>
                <a:latin typeface="Segoe UI Semibold" pitchFamily="34" charset="0"/>
                <a:ea typeface="Segoe UI" pitchFamily="34" charset="0"/>
                <a:cs typeface="Segoe UI" pitchFamily="34" charset="0"/>
              </a:rPr>
              <a:t>CRP/L3</a:t>
            </a:r>
          </a:p>
          <a:p>
            <a:pPr eaLnBrk="1" fontAlgn="auto" latinLnBrk="0" hangingPunct="1"/>
            <a:r>
              <a:rPr lang="en-US" sz="2000" b="0" i="0" baseline="0">
                <a:solidFill>
                  <a:schemeClr val="bg1"/>
                </a:solidFill>
                <a:effectLst/>
                <a:latin typeface="Segoe UI Semibold" pitchFamily="34" charset="0"/>
                <a:ea typeface="Segoe UI" pitchFamily="34" charset="0"/>
                <a:cs typeface="Segoe UI" pitchFamily="34" charset="0"/>
              </a:rPr>
              <a:t>Client's Records Package V.10.2</a:t>
            </a:r>
          </a:p>
          <a:p>
            <a:pPr eaLnBrk="1" fontAlgn="auto" latinLnBrk="0" hangingPunct="1"/>
            <a:endParaRPr lang="en-US" sz="1400" b="0" i="0" baseline="0">
              <a:solidFill>
                <a:schemeClr val="bg1"/>
              </a:solidFill>
              <a:effectLst/>
              <a:latin typeface="Arial" panose="020B0604020202020204" pitchFamily="34" charset="0"/>
              <a:ea typeface="Segoe UI" pitchFamily="34" charset="0"/>
              <a:cs typeface="Arial" panose="020B0604020202020204" pitchFamily="34" charset="0"/>
            </a:endParaRPr>
          </a:p>
          <a:p>
            <a:r>
              <a:rPr lang="en-GB" sz="1600" b="0" i="0" baseline="0">
                <a:solidFill>
                  <a:schemeClr val="bg1"/>
                </a:solidFill>
                <a:effectLst/>
                <a:latin typeface="Segoe UI Semibold" pitchFamily="34" charset="0"/>
                <a:ea typeface="Segoe UI" pitchFamily="34" charset="0"/>
                <a:cs typeface="Segoe UI" pitchFamily="34" charset="0"/>
              </a:rPr>
              <a:t>10</a:t>
            </a:r>
            <a:r>
              <a:rPr lang="en-US" sz="1600" b="0" i="0" baseline="0">
                <a:solidFill>
                  <a:schemeClr val="bg1"/>
                </a:solidFill>
                <a:effectLst/>
                <a:latin typeface="Segoe UI Semibold" pitchFamily="34" charset="0"/>
                <a:ea typeface="Segoe UI" pitchFamily="34" charset="0"/>
                <a:cs typeface="Segoe UI" pitchFamily="34" charset="0"/>
              </a:rPr>
              <a:t>-</a:t>
            </a:r>
            <a:r>
              <a:rPr lang="en-GB" sz="1600" b="0" i="0" baseline="0">
                <a:solidFill>
                  <a:schemeClr val="bg1"/>
                </a:solidFill>
                <a:effectLst/>
                <a:latin typeface="Segoe UI Semibold" pitchFamily="34" charset="0"/>
                <a:ea typeface="Segoe UI" pitchFamily="34" charset="0"/>
                <a:cs typeface="Segoe UI" pitchFamily="34" charset="0"/>
              </a:rPr>
              <a:t>12</a:t>
            </a:r>
            <a:r>
              <a:rPr lang="en-US" sz="1600" b="0" i="0" baseline="0">
                <a:solidFill>
                  <a:schemeClr val="bg1"/>
                </a:solidFill>
                <a:effectLst/>
                <a:latin typeface="Segoe UI Semibold" pitchFamily="34" charset="0"/>
                <a:ea typeface="Segoe UI" pitchFamily="34" charset="0"/>
                <a:cs typeface="Segoe UI" pitchFamily="34" charset="0"/>
              </a:rPr>
              <a:t>-2022</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09588" cy="52147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09588" cy="521470"/>
        </a:xfrm>
        <a:prstGeom prst="rect">
          <a:avLst/>
        </a:prstGeom>
      </xdr:spPr>
    </xdr:pic>
    <xdr:clientData/>
  </xdr:oneCellAnchor>
  <xdr:twoCellAnchor editAs="oneCell">
    <xdr:from>
      <xdr:col>9</xdr:col>
      <xdr:colOff>0</xdr:colOff>
      <xdr:row>0</xdr:row>
      <xdr:rowOff>0</xdr:rowOff>
    </xdr:from>
    <xdr:to>
      <xdr:col>9</xdr:col>
      <xdr:colOff>509588</xdr:colOff>
      <xdr:row>2</xdr:row>
      <xdr:rowOff>159520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8875" y="0"/>
          <a:ext cx="509588" cy="521470"/>
        </a:xfrm>
        <a:prstGeom prst="rect">
          <a:avLst/>
        </a:prstGeom>
      </xdr:spPr>
    </xdr:pic>
    <xdr:clientData/>
  </xdr:twoCellAnchor>
  <xdr:twoCellAnchor editAs="oneCell">
    <xdr:from>
      <xdr:col>12</xdr:col>
      <xdr:colOff>285751</xdr:colOff>
      <xdr:row>33</xdr:row>
      <xdr:rowOff>66676</xdr:rowOff>
    </xdr:from>
    <xdr:to>
      <xdr:col>15</xdr:col>
      <xdr:colOff>114300</xdr:colOff>
      <xdr:row>35</xdr:row>
      <xdr:rowOff>503</xdr:rowOff>
    </xdr:to>
    <xdr:pic>
      <xdr:nvPicPr>
        <xdr:cNvPr id="3" name="Picture 2">
          <a:extLst>
            <a:ext uri="{FF2B5EF4-FFF2-40B4-BE49-F238E27FC236}">
              <a16:creationId xmlns:a16="http://schemas.microsoft.com/office/drawing/2014/main" id="{D81F4D25-CE54-456B-A3B4-85A3277DC0E8}"/>
            </a:ext>
          </a:extLst>
        </xdr:cNvPr>
        <xdr:cNvPicPr>
          <a:picLocks noChangeAspect="1"/>
        </xdr:cNvPicPr>
      </xdr:nvPicPr>
      <xdr:blipFill>
        <a:blip xmlns:r="http://schemas.openxmlformats.org/officeDocument/2006/relationships" r:embed="rId3"/>
        <a:stretch>
          <a:fillRect/>
        </a:stretch>
      </xdr:blipFill>
      <xdr:spPr>
        <a:xfrm>
          <a:off x="7962901" y="9105901"/>
          <a:ext cx="1628774"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09588" cy="521470"/>
    <xdr:pic>
      <xdr:nvPicPr>
        <xdr:cNvPr id="2" name="Picture 1">
          <a:extLst>
            <a:ext uri="{FF2B5EF4-FFF2-40B4-BE49-F238E27FC236}">
              <a16:creationId xmlns:a16="http://schemas.microsoft.com/office/drawing/2014/main" id="{FF0F2581-54E6-421A-865F-B0867EC80C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09588" cy="521470"/>
        </a:xfrm>
        <a:prstGeom prst="rect">
          <a:avLst/>
        </a:prstGeom>
      </xdr:spPr>
    </xdr:pic>
    <xdr:clientData/>
  </xdr:oneCellAnchor>
  <xdr:oneCellAnchor>
    <xdr:from>
      <xdr:col>14</xdr:col>
      <xdr:colOff>0</xdr:colOff>
      <xdr:row>0</xdr:row>
      <xdr:rowOff>0</xdr:rowOff>
    </xdr:from>
    <xdr:ext cx="509588" cy="521470"/>
    <xdr:pic>
      <xdr:nvPicPr>
        <xdr:cNvPr id="4" name="Picture 3">
          <a:extLst>
            <a:ext uri="{FF2B5EF4-FFF2-40B4-BE49-F238E27FC236}">
              <a16:creationId xmlns:a16="http://schemas.microsoft.com/office/drawing/2014/main" id="{B425EF70-4102-488C-B77C-9A366BCC09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09588" cy="52147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509588</xdr:colOff>
      <xdr:row>2</xdr:row>
      <xdr:rowOff>159520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09588" cy="521470"/>
        </a:xfrm>
        <a:prstGeom prst="rect">
          <a:avLst/>
        </a:prstGeom>
      </xdr:spPr>
    </xdr:pic>
    <xdr:clientData/>
  </xdr:twoCellAnchor>
  <xdr:twoCellAnchor editAs="oneCell">
    <xdr:from>
      <xdr:col>11</xdr:col>
      <xdr:colOff>0</xdr:colOff>
      <xdr:row>0</xdr:row>
      <xdr:rowOff>0</xdr:rowOff>
    </xdr:from>
    <xdr:to>
      <xdr:col>11</xdr:col>
      <xdr:colOff>509588</xdr:colOff>
      <xdr:row>2</xdr:row>
      <xdr:rowOff>159520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8875" y="0"/>
          <a:ext cx="509588" cy="5214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4763</xdr:rowOff>
    </xdr:from>
    <xdr:to>
      <xdr:col>0</xdr:col>
      <xdr:colOff>509588</xdr:colOff>
      <xdr:row>2</xdr:row>
      <xdr:rowOff>164283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3"/>
          <a:ext cx="509588" cy="521470"/>
        </a:xfrm>
        <a:prstGeom prst="rect">
          <a:avLst/>
        </a:prstGeom>
      </xdr:spPr>
    </xdr:pic>
    <xdr:clientData/>
  </xdr:twoCellAnchor>
  <xdr:twoCellAnchor editAs="oneCell">
    <xdr:from>
      <xdr:col>9</xdr:col>
      <xdr:colOff>0</xdr:colOff>
      <xdr:row>0</xdr:row>
      <xdr:rowOff>0</xdr:rowOff>
    </xdr:from>
    <xdr:to>
      <xdr:col>9</xdr:col>
      <xdr:colOff>509588</xdr:colOff>
      <xdr:row>2</xdr:row>
      <xdr:rowOff>159520</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8875" y="0"/>
          <a:ext cx="509588" cy="5214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4763</xdr:rowOff>
    </xdr:from>
    <xdr:to>
      <xdr:col>0</xdr:col>
      <xdr:colOff>509588</xdr:colOff>
      <xdr:row>2</xdr:row>
      <xdr:rowOff>164283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3"/>
          <a:ext cx="509588" cy="521470"/>
        </a:xfrm>
        <a:prstGeom prst="rect">
          <a:avLst/>
        </a:prstGeom>
      </xdr:spPr>
    </xdr:pic>
    <xdr:clientData/>
  </xdr:twoCellAnchor>
  <xdr:twoCellAnchor editAs="oneCell">
    <xdr:from>
      <xdr:col>9</xdr:col>
      <xdr:colOff>0</xdr:colOff>
      <xdr:row>0</xdr:row>
      <xdr:rowOff>0</xdr:rowOff>
    </xdr:from>
    <xdr:to>
      <xdr:col>10</xdr:col>
      <xdr:colOff>509588</xdr:colOff>
      <xdr:row>2</xdr:row>
      <xdr:rowOff>159520</xdr:rowOff>
    </xdr:to>
    <xdr:pic>
      <xdr:nvPicPr>
        <xdr:cNvPr id="9" name="Picture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8875" y="0"/>
          <a:ext cx="509588" cy="521470"/>
        </a:xfrm>
        <a:prstGeom prst="rect">
          <a:avLst/>
        </a:prstGeom>
      </xdr:spPr>
    </xdr:pic>
    <xdr:clientData/>
  </xdr:twoCellAnchor>
  <xdr:oneCellAnchor>
    <xdr:from>
      <xdr:col>0</xdr:col>
      <xdr:colOff>0</xdr:colOff>
      <xdr:row>47</xdr:row>
      <xdr:rowOff>4763</xdr:rowOff>
    </xdr:from>
    <xdr:ext cx="509588" cy="521470"/>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763"/>
          <a:ext cx="509588" cy="521470"/>
        </a:xfrm>
        <a:prstGeom prst="rect">
          <a:avLst/>
        </a:prstGeom>
      </xdr:spPr>
    </xdr:pic>
    <xdr:clientData/>
  </xdr:oneCellAnchor>
  <xdr:oneCellAnchor>
    <xdr:from>
      <xdr:col>0</xdr:col>
      <xdr:colOff>0</xdr:colOff>
      <xdr:row>47</xdr:row>
      <xdr:rowOff>0</xdr:rowOff>
    </xdr:from>
    <xdr:ext cx="509588" cy="521470"/>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8875" y="0"/>
          <a:ext cx="509588" cy="521470"/>
        </a:xfrm>
        <a:prstGeom prst="rect">
          <a:avLst/>
        </a:prstGeom>
      </xdr:spPr>
    </xdr:pic>
    <xdr:clientData/>
  </xdr:oneCellAnchor>
  <xdr:oneCellAnchor>
    <xdr:from>
      <xdr:col>10</xdr:col>
      <xdr:colOff>0</xdr:colOff>
      <xdr:row>47</xdr:row>
      <xdr:rowOff>4763</xdr:rowOff>
    </xdr:from>
    <xdr:ext cx="509588" cy="521470"/>
    <xdr:pic>
      <xdr:nvPicPr>
        <xdr:cNvPr id="18" name="Picture 17">
          <a:extLst>
            <a:ext uri="{FF2B5EF4-FFF2-40B4-BE49-F238E27FC236}">
              <a16:creationId xmlns:a16="http://schemas.microsoft.com/office/drawing/2014/main" id="{00000000-0008-0000-05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510588"/>
          <a:ext cx="509588" cy="521470"/>
        </a:xfrm>
        <a:prstGeom prst="rect">
          <a:avLst/>
        </a:prstGeom>
      </xdr:spPr>
    </xdr:pic>
    <xdr:clientData/>
  </xdr:oneCellAnchor>
  <xdr:oneCellAnchor>
    <xdr:from>
      <xdr:col>10</xdr:col>
      <xdr:colOff>0</xdr:colOff>
      <xdr:row>47</xdr:row>
      <xdr:rowOff>0</xdr:rowOff>
    </xdr:from>
    <xdr:ext cx="509588" cy="521470"/>
    <xdr:pic>
      <xdr:nvPicPr>
        <xdr:cNvPr id="19" name="Picture 18">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505825"/>
          <a:ext cx="509588" cy="521470"/>
        </a:xfrm>
        <a:prstGeom prst="rect">
          <a:avLst/>
        </a:prstGeom>
      </xdr:spPr>
    </xdr:pic>
    <xdr:clientData/>
  </xdr:oneCellAnchor>
  <xdr:oneCellAnchor>
    <xdr:from>
      <xdr:col>0</xdr:col>
      <xdr:colOff>0</xdr:colOff>
      <xdr:row>94</xdr:row>
      <xdr:rowOff>4763</xdr:rowOff>
    </xdr:from>
    <xdr:ext cx="509588" cy="521470"/>
    <xdr:pic>
      <xdr:nvPicPr>
        <xdr:cNvPr id="20" name="Picture 19">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510588"/>
          <a:ext cx="509588" cy="521470"/>
        </a:xfrm>
        <a:prstGeom prst="rect">
          <a:avLst/>
        </a:prstGeom>
      </xdr:spPr>
    </xdr:pic>
    <xdr:clientData/>
  </xdr:oneCellAnchor>
  <xdr:oneCellAnchor>
    <xdr:from>
      <xdr:col>0</xdr:col>
      <xdr:colOff>0</xdr:colOff>
      <xdr:row>94</xdr:row>
      <xdr:rowOff>0</xdr:rowOff>
    </xdr:from>
    <xdr:ext cx="509588" cy="521470"/>
    <xdr:pic>
      <xdr:nvPicPr>
        <xdr:cNvPr id="21" name="Picture 20">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011650"/>
          <a:ext cx="509588" cy="521470"/>
        </a:xfrm>
        <a:prstGeom prst="rect">
          <a:avLst/>
        </a:prstGeom>
      </xdr:spPr>
    </xdr:pic>
    <xdr:clientData/>
  </xdr:oneCellAnchor>
  <xdr:oneCellAnchor>
    <xdr:from>
      <xdr:col>10</xdr:col>
      <xdr:colOff>0</xdr:colOff>
      <xdr:row>94</xdr:row>
      <xdr:rowOff>4763</xdr:rowOff>
    </xdr:from>
    <xdr:ext cx="509588" cy="521470"/>
    <xdr:pic>
      <xdr:nvPicPr>
        <xdr:cNvPr id="13" name="Picture 12">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016413"/>
          <a:ext cx="509588" cy="521470"/>
        </a:xfrm>
        <a:prstGeom prst="rect">
          <a:avLst/>
        </a:prstGeom>
      </xdr:spPr>
    </xdr:pic>
    <xdr:clientData/>
  </xdr:oneCellAnchor>
  <xdr:oneCellAnchor>
    <xdr:from>
      <xdr:col>10</xdr:col>
      <xdr:colOff>0</xdr:colOff>
      <xdr:row>94</xdr:row>
      <xdr:rowOff>0</xdr:rowOff>
    </xdr:from>
    <xdr:ext cx="509588" cy="521470"/>
    <xdr:pic>
      <xdr:nvPicPr>
        <xdr:cNvPr id="14" name="Picture 13">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011650"/>
          <a:ext cx="509588" cy="521470"/>
        </a:xfrm>
        <a:prstGeom prst="rect">
          <a:avLst/>
        </a:prstGeom>
      </xdr:spPr>
    </xdr:pic>
    <xdr:clientData/>
  </xdr:oneCellAnchor>
  <xdr:oneCellAnchor>
    <xdr:from>
      <xdr:col>0</xdr:col>
      <xdr:colOff>0</xdr:colOff>
      <xdr:row>141</xdr:row>
      <xdr:rowOff>4763</xdr:rowOff>
    </xdr:from>
    <xdr:ext cx="509588" cy="521470"/>
    <xdr:pic>
      <xdr:nvPicPr>
        <xdr:cNvPr id="12" name="Picture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016413"/>
          <a:ext cx="509588" cy="521470"/>
        </a:xfrm>
        <a:prstGeom prst="rect">
          <a:avLst/>
        </a:prstGeom>
      </xdr:spPr>
    </xdr:pic>
    <xdr:clientData/>
  </xdr:oneCellAnchor>
  <xdr:oneCellAnchor>
    <xdr:from>
      <xdr:col>0</xdr:col>
      <xdr:colOff>0</xdr:colOff>
      <xdr:row>141</xdr:row>
      <xdr:rowOff>0</xdr:rowOff>
    </xdr:from>
    <xdr:ext cx="509588" cy="521470"/>
    <xdr:pic>
      <xdr:nvPicPr>
        <xdr:cNvPr id="15" name="Picture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011650"/>
          <a:ext cx="509588" cy="521470"/>
        </a:xfrm>
        <a:prstGeom prst="rect">
          <a:avLst/>
        </a:prstGeom>
      </xdr:spPr>
    </xdr:pic>
    <xdr:clientData/>
  </xdr:oneCellAnchor>
  <xdr:oneCellAnchor>
    <xdr:from>
      <xdr:col>0</xdr:col>
      <xdr:colOff>0</xdr:colOff>
      <xdr:row>94</xdr:row>
      <xdr:rowOff>4763</xdr:rowOff>
    </xdr:from>
    <xdr:ext cx="509588" cy="521470"/>
    <xdr:pic>
      <xdr:nvPicPr>
        <xdr:cNvPr id="16" name="Picture 15">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510588"/>
          <a:ext cx="509588" cy="521470"/>
        </a:xfrm>
        <a:prstGeom prst="rect">
          <a:avLst/>
        </a:prstGeom>
      </xdr:spPr>
    </xdr:pic>
    <xdr:clientData/>
  </xdr:oneCellAnchor>
  <xdr:oneCellAnchor>
    <xdr:from>
      <xdr:col>0</xdr:col>
      <xdr:colOff>0</xdr:colOff>
      <xdr:row>94</xdr:row>
      <xdr:rowOff>0</xdr:rowOff>
    </xdr:from>
    <xdr:ext cx="509588" cy="521470"/>
    <xdr:pic>
      <xdr:nvPicPr>
        <xdr:cNvPr id="17" name="Picture 16">
          <a:extLst>
            <a:ext uri="{FF2B5EF4-FFF2-40B4-BE49-F238E27FC236}">
              <a16:creationId xmlns:a16="http://schemas.microsoft.com/office/drawing/2014/main" id="{00000000-0008-0000-05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505825"/>
          <a:ext cx="509588" cy="521470"/>
        </a:xfrm>
        <a:prstGeom prst="rect">
          <a:avLst/>
        </a:prstGeom>
      </xdr:spPr>
    </xdr:pic>
    <xdr:clientData/>
  </xdr:oneCellAnchor>
  <xdr:oneCellAnchor>
    <xdr:from>
      <xdr:col>0</xdr:col>
      <xdr:colOff>0</xdr:colOff>
      <xdr:row>141</xdr:row>
      <xdr:rowOff>4763</xdr:rowOff>
    </xdr:from>
    <xdr:ext cx="509588" cy="521470"/>
    <xdr:pic>
      <xdr:nvPicPr>
        <xdr:cNvPr id="22" name="Picture 21">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510588"/>
          <a:ext cx="509588" cy="521470"/>
        </a:xfrm>
        <a:prstGeom prst="rect">
          <a:avLst/>
        </a:prstGeom>
      </xdr:spPr>
    </xdr:pic>
    <xdr:clientData/>
  </xdr:oneCellAnchor>
  <xdr:oneCellAnchor>
    <xdr:from>
      <xdr:col>0</xdr:col>
      <xdr:colOff>0</xdr:colOff>
      <xdr:row>141</xdr:row>
      <xdr:rowOff>0</xdr:rowOff>
    </xdr:from>
    <xdr:ext cx="509588" cy="521470"/>
    <xdr:pic>
      <xdr:nvPicPr>
        <xdr:cNvPr id="23" name="Picture 22">
          <a:extLst>
            <a:ext uri="{FF2B5EF4-FFF2-40B4-BE49-F238E27FC236}">
              <a16:creationId xmlns:a16="http://schemas.microsoft.com/office/drawing/2014/main" id="{00000000-0008-0000-05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5517475"/>
          <a:ext cx="509588" cy="521470"/>
        </a:xfrm>
        <a:prstGeom prst="rect">
          <a:avLst/>
        </a:prstGeom>
      </xdr:spPr>
    </xdr:pic>
    <xdr:clientData/>
  </xdr:oneCellAnchor>
  <xdr:oneCellAnchor>
    <xdr:from>
      <xdr:col>10</xdr:col>
      <xdr:colOff>0</xdr:colOff>
      <xdr:row>141</xdr:row>
      <xdr:rowOff>4763</xdr:rowOff>
    </xdr:from>
    <xdr:ext cx="509588" cy="521470"/>
    <xdr:pic>
      <xdr:nvPicPr>
        <xdr:cNvPr id="24" name="Picture 23">
          <a:extLst>
            <a:ext uri="{FF2B5EF4-FFF2-40B4-BE49-F238E27FC236}">
              <a16:creationId xmlns:a16="http://schemas.microsoft.com/office/drawing/2014/main" id="{00000000-0008-0000-05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8875" y="17016413"/>
          <a:ext cx="509588" cy="521470"/>
        </a:xfrm>
        <a:prstGeom prst="rect">
          <a:avLst/>
        </a:prstGeom>
      </xdr:spPr>
    </xdr:pic>
    <xdr:clientData/>
  </xdr:oneCellAnchor>
  <xdr:oneCellAnchor>
    <xdr:from>
      <xdr:col>10</xdr:col>
      <xdr:colOff>0</xdr:colOff>
      <xdr:row>141</xdr:row>
      <xdr:rowOff>0</xdr:rowOff>
    </xdr:from>
    <xdr:ext cx="509588" cy="521470"/>
    <xdr:pic>
      <xdr:nvPicPr>
        <xdr:cNvPr id="25" name="Picture 24">
          <a:extLst>
            <a:ext uri="{FF2B5EF4-FFF2-40B4-BE49-F238E27FC236}">
              <a16:creationId xmlns:a16="http://schemas.microsoft.com/office/drawing/2014/main" id="{00000000-0008-0000-05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8875" y="17011650"/>
          <a:ext cx="509588" cy="521470"/>
        </a:xfrm>
        <a:prstGeom prst="rect">
          <a:avLst/>
        </a:prstGeom>
      </xdr:spPr>
    </xdr:pic>
    <xdr:clientData/>
  </xdr:oneCellAnchor>
  <xdr:oneCellAnchor>
    <xdr:from>
      <xdr:col>0</xdr:col>
      <xdr:colOff>0</xdr:colOff>
      <xdr:row>188</xdr:row>
      <xdr:rowOff>4763</xdr:rowOff>
    </xdr:from>
    <xdr:ext cx="509588" cy="521470"/>
    <xdr:pic>
      <xdr:nvPicPr>
        <xdr:cNvPr id="26" name="Picture 25">
          <a:extLst>
            <a:ext uri="{FF2B5EF4-FFF2-40B4-BE49-F238E27FC236}">
              <a16:creationId xmlns:a16="http://schemas.microsoft.com/office/drawing/2014/main" id="{00000000-0008-0000-05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016413"/>
          <a:ext cx="509588" cy="521470"/>
        </a:xfrm>
        <a:prstGeom prst="rect">
          <a:avLst/>
        </a:prstGeom>
      </xdr:spPr>
    </xdr:pic>
    <xdr:clientData/>
  </xdr:oneCellAnchor>
  <xdr:oneCellAnchor>
    <xdr:from>
      <xdr:col>0</xdr:col>
      <xdr:colOff>0</xdr:colOff>
      <xdr:row>188</xdr:row>
      <xdr:rowOff>0</xdr:rowOff>
    </xdr:from>
    <xdr:ext cx="509588" cy="521470"/>
    <xdr:pic>
      <xdr:nvPicPr>
        <xdr:cNvPr id="27" name="Picture 26">
          <a:extLst>
            <a:ext uri="{FF2B5EF4-FFF2-40B4-BE49-F238E27FC236}">
              <a16:creationId xmlns:a16="http://schemas.microsoft.com/office/drawing/2014/main" id="{00000000-0008-0000-05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011650"/>
          <a:ext cx="509588" cy="521470"/>
        </a:xfrm>
        <a:prstGeom prst="rect">
          <a:avLst/>
        </a:prstGeom>
      </xdr:spPr>
    </xdr:pic>
    <xdr:clientData/>
  </xdr:oneCellAnchor>
  <xdr:oneCellAnchor>
    <xdr:from>
      <xdr:col>0</xdr:col>
      <xdr:colOff>0</xdr:colOff>
      <xdr:row>188</xdr:row>
      <xdr:rowOff>4763</xdr:rowOff>
    </xdr:from>
    <xdr:ext cx="509588" cy="521470"/>
    <xdr:pic>
      <xdr:nvPicPr>
        <xdr:cNvPr id="28" name="Picture 27">
          <a:extLst>
            <a:ext uri="{FF2B5EF4-FFF2-40B4-BE49-F238E27FC236}">
              <a16:creationId xmlns:a16="http://schemas.microsoft.com/office/drawing/2014/main" id="{00000000-0008-0000-0500-00001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016413"/>
          <a:ext cx="509588" cy="521470"/>
        </a:xfrm>
        <a:prstGeom prst="rect">
          <a:avLst/>
        </a:prstGeom>
      </xdr:spPr>
    </xdr:pic>
    <xdr:clientData/>
  </xdr:oneCellAnchor>
  <xdr:oneCellAnchor>
    <xdr:from>
      <xdr:col>0</xdr:col>
      <xdr:colOff>0</xdr:colOff>
      <xdr:row>188</xdr:row>
      <xdr:rowOff>0</xdr:rowOff>
    </xdr:from>
    <xdr:ext cx="509588" cy="521470"/>
    <xdr:pic>
      <xdr:nvPicPr>
        <xdr:cNvPr id="29" name="Picture 28">
          <a:extLst>
            <a:ext uri="{FF2B5EF4-FFF2-40B4-BE49-F238E27FC236}">
              <a16:creationId xmlns:a16="http://schemas.microsoft.com/office/drawing/2014/main" id="{00000000-0008-0000-05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011650"/>
          <a:ext cx="509588" cy="521470"/>
        </a:xfrm>
        <a:prstGeom prst="rect">
          <a:avLst/>
        </a:prstGeom>
      </xdr:spPr>
    </xdr:pic>
    <xdr:clientData/>
  </xdr:oneCellAnchor>
  <xdr:oneCellAnchor>
    <xdr:from>
      <xdr:col>10</xdr:col>
      <xdr:colOff>0</xdr:colOff>
      <xdr:row>188</xdr:row>
      <xdr:rowOff>4763</xdr:rowOff>
    </xdr:from>
    <xdr:ext cx="509588" cy="521470"/>
    <xdr:pic>
      <xdr:nvPicPr>
        <xdr:cNvPr id="30" name="Picture 29">
          <a:extLst>
            <a:ext uri="{FF2B5EF4-FFF2-40B4-BE49-F238E27FC236}">
              <a16:creationId xmlns:a16="http://schemas.microsoft.com/office/drawing/2014/main" id="{00000000-0008-0000-0500-00001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8875" y="25522238"/>
          <a:ext cx="509588" cy="521470"/>
        </a:xfrm>
        <a:prstGeom prst="rect">
          <a:avLst/>
        </a:prstGeom>
      </xdr:spPr>
    </xdr:pic>
    <xdr:clientData/>
  </xdr:oneCellAnchor>
  <xdr:oneCellAnchor>
    <xdr:from>
      <xdr:col>10</xdr:col>
      <xdr:colOff>0</xdr:colOff>
      <xdr:row>188</xdr:row>
      <xdr:rowOff>0</xdr:rowOff>
    </xdr:from>
    <xdr:ext cx="509588" cy="521470"/>
    <xdr:pic>
      <xdr:nvPicPr>
        <xdr:cNvPr id="31" name="Picture 30">
          <a:extLst>
            <a:ext uri="{FF2B5EF4-FFF2-40B4-BE49-F238E27FC236}">
              <a16:creationId xmlns:a16="http://schemas.microsoft.com/office/drawing/2014/main" id="{00000000-0008-0000-0500-00001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8875" y="25517475"/>
          <a:ext cx="509588" cy="521470"/>
        </a:xfrm>
        <a:prstGeom prst="rect">
          <a:avLst/>
        </a:prstGeom>
      </xdr:spPr>
    </xdr:pic>
    <xdr:clientData/>
  </xdr:oneCellAnchor>
  <xdr:oneCellAnchor>
    <xdr:from>
      <xdr:col>0</xdr:col>
      <xdr:colOff>0</xdr:colOff>
      <xdr:row>235</xdr:row>
      <xdr:rowOff>4763</xdr:rowOff>
    </xdr:from>
    <xdr:ext cx="509588" cy="521470"/>
    <xdr:pic>
      <xdr:nvPicPr>
        <xdr:cNvPr id="32" name="Picture 31">
          <a:extLst>
            <a:ext uri="{FF2B5EF4-FFF2-40B4-BE49-F238E27FC236}">
              <a16:creationId xmlns:a16="http://schemas.microsoft.com/office/drawing/2014/main" id="{00000000-0008-0000-05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4028063"/>
          <a:ext cx="509588" cy="521470"/>
        </a:xfrm>
        <a:prstGeom prst="rect">
          <a:avLst/>
        </a:prstGeom>
      </xdr:spPr>
    </xdr:pic>
    <xdr:clientData/>
  </xdr:oneCellAnchor>
  <xdr:oneCellAnchor>
    <xdr:from>
      <xdr:col>0</xdr:col>
      <xdr:colOff>0</xdr:colOff>
      <xdr:row>235</xdr:row>
      <xdr:rowOff>0</xdr:rowOff>
    </xdr:from>
    <xdr:ext cx="509588" cy="521470"/>
    <xdr:pic>
      <xdr:nvPicPr>
        <xdr:cNvPr id="33" name="Picture 32">
          <a:extLst>
            <a:ext uri="{FF2B5EF4-FFF2-40B4-BE49-F238E27FC236}">
              <a16:creationId xmlns:a16="http://schemas.microsoft.com/office/drawing/2014/main" id="{00000000-0008-0000-0500-00002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4023300"/>
          <a:ext cx="509588" cy="521470"/>
        </a:xfrm>
        <a:prstGeom prst="rect">
          <a:avLst/>
        </a:prstGeom>
      </xdr:spPr>
    </xdr:pic>
    <xdr:clientData/>
  </xdr:oneCellAnchor>
  <xdr:oneCellAnchor>
    <xdr:from>
      <xdr:col>0</xdr:col>
      <xdr:colOff>0</xdr:colOff>
      <xdr:row>235</xdr:row>
      <xdr:rowOff>4763</xdr:rowOff>
    </xdr:from>
    <xdr:ext cx="509588" cy="521470"/>
    <xdr:pic>
      <xdr:nvPicPr>
        <xdr:cNvPr id="34" name="Picture 33">
          <a:extLst>
            <a:ext uri="{FF2B5EF4-FFF2-40B4-BE49-F238E27FC236}">
              <a16:creationId xmlns:a16="http://schemas.microsoft.com/office/drawing/2014/main" id="{00000000-0008-0000-0500-00002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4028063"/>
          <a:ext cx="509588" cy="521470"/>
        </a:xfrm>
        <a:prstGeom prst="rect">
          <a:avLst/>
        </a:prstGeom>
      </xdr:spPr>
    </xdr:pic>
    <xdr:clientData/>
  </xdr:oneCellAnchor>
  <xdr:oneCellAnchor>
    <xdr:from>
      <xdr:col>0</xdr:col>
      <xdr:colOff>0</xdr:colOff>
      <xdr:row>235</xdr:row>
      <xdr:rowOff>0</xdr:rowOff>
    </xdr:from>
    <xdr:ext cx="509588" cy="521470"/>
    <xdr:pic>
      <xdr:nvPicPr>
        <xdr:cNvPr id="35" name="Picture 34">
          <a:extLst>
            <a:ext uri="{FF2B5EF4-FFF2-40B4-BE49-F238E27FC236}">
              <a16:creationId xmlns:a16="http://schemas.microsoft.com/office/drawing/2014/main" id="{00000000-0008-0000-05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4023300"/>
          <a:ext cx="509588" cy="521470"/>
        </a:xfrm>
        <a:prstGeom prst="rect">
          <a:avLst/>
        </a:prstGeom>
      </xdr:spPr>
    </xdr:pic>
    <xdr:clientData/>
  </xdr:oneCellAnchor>
  <xdr:oneCellAnchor>
    <xdr:from>
      <xdr:col>10</xdr:col>
      <xdr:colOff>0</xdr:colOff>
      <xdr:row>235</xdr:row>
      <xdr:rowOff>4763</xdr:rowOff>
    </xdr:from>
    <xdr:ext cx="509588" cy="521470"/>
    <xdr:pic>
      <xdr:nvPicPr>
        <xdr:cNvPr id="36" name="Picture 35">
          <a:extLst>
            <a:ext uri="{FF2B5EF4-FFF2-40B4-BE49-F238E27FC236}">
              <a16:creationId xmlns:a16="http://schemas.microsoft.com/office/drawing/2014/main" id="{00000000-0008-0000-0500-00002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8875" y="25522238"/>
          <a:ext cx="509588" cy="521470"/>
        </a:xfrm>
        <a:prstGeom prst="rect">
          <a:avLst/>
        </a:prstGeom>
      </xdr:spPr>
    </xdr:pic>
    <xdr:clientData/>
  </xdr:oneCellAnchor>
  <xdr:oneCellAnchor>
    <xdr:from>
      <xdr:col>10</xdr:col>
      <xdr:colOff>0</xdr:colOff>
      <xdr:row>235</xdr:row>
      <xdr:rowOff>0</xdr:rowOff>
    </xdr:from>
    <xdr:ext cx="509588" cy="521470"/>
    <xdr:pic>
      <xdr:nvPicPr>
        <xdr:cNvPr id="37" name="Picture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8875" y="25517475"/>
          <a:ext cx="509588" cy="52147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4763</xdr:rowOff>
    </xdr:from>
    <xdr:to>
      <xdr:col>0</xdr:col>
      <xdr:colOff>509588</xdr:colOff>
      <xdr:row>2</xdr:row>
      <xdr:rowOff>164283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3"/>
          <a:ext cx="509588" cy="521470"/>
        </a:xfrm>
        <a:prstGeom prst="rect">
          <a:avLst/>
        </a:prstGeom>
      </xdr:spPr>
    </xdr:pic>
    <xdr:clientData/>
  </xdr:twoCellAnchor>
  <xdr:twoCellAnchor editAs="oneCell">
    <xdr:from>
      <xdr:col>9</xdr:col>
      <xdr:colOff>0</xdr:colOff>
      <xdr:row>0</xdr:row>
      <xdr:rowOff>0</xdr:rowOff>
    </xdr:from>
    <xdr:to>
      <xdr:col>9</xdr:col>
      <xdr:colOff>509588</xdr:colOff>
      <xdr:row>2</xdr:row>
      <xdr:rowOff>159520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8875" y="0"/>
          <a:ext cx="509588" cy="5214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4763</xdr:rowOff>
    </xdr:from>
    <xdr:to>
      <xdr:col>0</xdr:col>
      <xdr:colOff>509588</xdr:colOff>
      <xdr:row>2</xdr:row>
      <xdr:rowOff>164283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3"/>
          <a:ext cx="509588" cy="521470"/>
        </a:xfrm>
        <a:prstGeom prst="rect">
          <a:avLst/>
        </a:prstGeom>
      </xdr:spPr>
    </xdr:pic>
    <xdr:clientData/>
  </xdr:twoCellAnchor>
  <xdr:twoCellAnchor editAs="oneCell">
    <xdr:from>
      <xdr:col>9</xdr:col>
      <xdr:colOff>0</xdr:colOff>
      <xdr:row>0</xdr:row>
      <xdr:rowOff>0</xdr:rowOff>
    </xdr:from>
    <xdr:to>
      <xdr:col>9</xdr:col>
      <xdr:colOff>509588</xdr:colOff>
      <xdr:row>2</xdr:row>
      <xdr:rowOff>159520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7438" y="0"/>
          <a:ext cx="509588" cy="521470"/>
        </a:xfrm>
        <a:prstGeom prst="rect">
          <a:avLst/>
        </a:prstGeom>
      </xdr:spPr>
    </xdr:pic>
    <xdr:clientData/>
  </xdr:twoCellAnchor>
  <xdr:twoCellAnchor editAs="oneCell">
    <xdr:from>
      <xdr:col>0</xdr:col>
      <xdr:colOff>0</xdr:colOff>
      <xdr:row>0</xdr:row>
      <xdr:rowOff>4763</xdr:rowOff>
    </xdr:from>
    <xdr:to>
      <xdr:col>0</xdr:col>
      <xdr:colOff>509588</xdr:colOff>
      <xdr:row>2</xdr:row>
      <xdr:rowOff>164283</xdr:rowOff>
    </xdr:to>
    <xdr:pic>
      <xdr:nvPicPr>
        <xdr:cNvPr id="4" name="Picture 3">
          <a:extLst>
            <a:ext uri="{FF2B5EF4-FFF2-40B4-BE49-F238E27FC236}">
              <a16:creationId xmlns:a16="http://schemas.microsoft.com/office/drawing/2014/main" id="{C267B4F1-306A-46DD-A427-653D657B60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3"/>
          <a:ext cx="509588" cy="521470"/>
        </a:xfrm>
        <a:prstGeom prst="rect">
          <a:avLst/>
        </a:prstGeom>
      </xdr:spPr>
    </xdr:pic>
    <xdr:clientData/>
  </xdr:twoCellAnchor>
  <xdr:twoCellAnchor editAs="oneCell">
    <xdr:from>
      <xdr:col>9</xdr:col>
      <xdr:colOff>0</xdr:colOff>
      <xdr:row>0</xdr:row>
      <xdr:rowOff>0</xdr:rowOff>
    </xdr:from>
    <xdr:to>
      <xdr:col>9</xdr:col>
      <xdr:colOff>509588</xdr:colOff>
      <xdr:row>2</xdr:row>
      <xdr:rowOff>159520</xdr:rowOff>
    </xdr:to>
    <xdr:pic>
      <xdr:nvPicPr>
        <xdr:cNvPr id="5" name="Picture 4">
          <a:extLst>
            <a:ext uri="{FF2B5EF4-FFF2-40B4-BE49-F238E27FC236}">
              <a16:creationId xmlns:a16="http://schemas.microsoft.com/office/drawing/2014/main" id="{2191B720-A6D5-41CE-B42F-7C876BE4D6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7913" y="0"/>
          <a:ext cx="509588" cy="52147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4763</xdr:rowOff>
    </xdr:from>
    <xdr:to>
      <xdr:col>0</xdr:col>
      <xdr:colOff>509588</xdr:colOff>
      <xdr:row>2</xdr:row>
      <xdr:rowOff>164283</xdr:rowOff>
    </xdr:to>
    <xdr:pic>
      <xdr:nvPicPr>
        <xdr:cNvPr id="2" name="Picture 1">
          <a:extLst>
            <a:ext uri="{FF2B5EF4-FFF2-40B4-BE49-F238E27FC236}">
              <a16:creationId xmlns:a16="http://schemas.microsoft.com/office/drawing/2014/main" id="{81FD9F0B-EEAF-4066-BDC5-A8CC7EED93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3"/>
          <a:ext cx="509588" cy="521470"/>
        </a:xfrm>
        <a:prstGeom prst="rect">
          <a:avLst/>
        </a:prstGeom>
      </xdr:spPr>
    </xdr:pic>
    <xdr:clientData/>
  </xdr:twoCellAnchor>
  <xdr:twoCellAnchor editAs="oneCell">
    <xdr:from>
      <xdr:col>9</xdr:col>
      <xdr:colOff>0</xdr:colOff>
      <xdr:row>0</xdr:row>
      <xdr:rowOff>0</xdr:rowOff>
    </xdr:from>
    <xdr:to>
      <xdr:col>9</xdr:col>
      <xdr:colOff>509588</xdr:colOff>
      <xdr:row>2</xdr:row>
      <xdr:rowOff>159520</xdr:rowOff>
    </xdr:to>
    <xdr:pic>
      <xdr:nvPicPr>
        <xdr:cNvPr id="3" name="Picture 2">
          <a:extLst>
            <a:ext uri="{FF2B5EF4-FFF2-40B4-BE49-F238E27FC236}">
              <a16:creationId xmlns:a16="http://schemas.microsoft.com/office/drawing/2014/main" id="{D89B3E94-2695-4EC2-9D73-DF2098CC4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8875" y="0"/>
          <a:ext cx="509588" cy="521470"/>
        </a:xfrm>
        <a:prstGeom prst="rect">
          <a:avLst/>
        </a:prstGeom>
      </xdr:spPr>
    </xdr:pic>
    <xdr:clientData/>
  </xdr:twoCellAnchor>
  <xdr:oneCellAnchor>
    <xdr:from>
      <xdr:col>0</xdr:col>
      <xdr:colOff>0</xdr:colOff>
      <xdr:row>31</xdr:row>
      <xdr:rowOff>4763</xdr:rowOff>
    </xdr:from>
    <xdr:ext cx="509588" cy="521470"/>
    <xdr:pic>
      <xdr:nvPicPr>
        <xdr:cNvPr id="12" name="Picture 11">
          <a:extLst>
            <a:ext uri="{FF2B5EF4-FFF2-40B4-BE49-F238E27FC236}">
              <a16:creationId xmlns:a16="http://schemas.microsoft.com/office/drawing/2014/main" id="{8D0EDBA8-0F5D-464E-8274-E0FCD813E9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715376"/>
          <a:ext cx="509588" cy="52147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32" totalsRowShown="0" headerRowDxfId="142" dataDxfId="141">
  <autoFilter ref="A1:G32" xr:uid="{00000000-0009-0000-0100-000001000000}"/>
  <tableColumns count="7">
    <tableColumn id="1" xr3:uid="{00000000-0010-0000-0000-000001000000}" name="Site No." dataDxfId="140"/>
    <tableColumn id="2" xr3:uid="{00000000-0010-0000-0000-000002000000}" name="Site Address in details " dataDxfId="139"/>
    <tableColumn id="6" xr3:uid="{00000000-0010-0000-0000-000006000000}" name="Site Scope" dataDxfId="138"/>
    <tableColumn id="9" xr3:uid="{00000000-0010-0000-0000-000009000000}" name="Products/ Services" dataDxfId="137"/>
    <tableColumn id="3" xr3:uid="{00000000-0010-0000-0000-000003000000}" name="No. of Employees" dataDxfId="136"/>
    <tableColumn id="5" xr3:uid="{00000000-0010-0000-0000-000005000000}" name="Site Type" dataDxfId="135"/>
    <tableColumn id="7" xr3:uid="{00000000-0010-0000-0000-000007000000}" name="Note2" dataDxfId="13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135" displayName="Table2135" ref="A1:I12" totalsRowShown="0" headerRowDxfId="133" dataDxfId="132" dataCellStyle="Output">
  <autoFilter ref="A1:I12" xr:uid="{00000000-0009-0000-0100-000004000000}"/>
  <tableColumns count="9">
    <tableColumn id="1" xr3:uid="{00000000-0010-0000-0100-000001000000}" name="ENP" dataDxfId="131" totalsRowDxfId="130" dataCellStyle="Output"/>
    <tableColumn id="2" xr3:uid="{00000000-0010-0000-0100-000002000000}" name="DOF - QMS" dataDxfId="129" dataCellStyle="Output"/>
    <tableColumn id="3" xr3:uid="{00000000-0010-0000-0100-000003000000}" name="DOF - EMS" dataDxfId="128" dataCellStyle="Output"/>
    <tableColumn id="4" xr3:uid="{00000000-0010-0000-0100-000004000000}" name="L-QMS" dataDxfId="127" dataCellStyle="Output"/>
    <tableColumn id="5" xr3:uid="{00000000-0010-0000-0100-000005000000}" name="M-QMS" dataDxfId="126" dataCellStyle="Output"/>
    <tableColumn id="6" xr3:uid="{00000000-0010-0000-0100-000006000000}" name="H-QMS" dataDxfId="125" dataCellStyle="Output"/>
    <tableColumn id="7" xr3:uid="{00000000-0010-0000-0100-000007000000}" name="L-EHS" dataDxfId="124" dataCellStyle="Output"/>
    <tableColumn id="8" xr3:uid="{00000000-0010-0000-0100-000008000000}" name="M-EHS" dataDxfId="123" dataCellStyle="Output"/>
    <tableColumn id="9" xr3:uid="{00000000-0010-0000-0100-000009000000}" name="H-EHS" dataDxfId="122" dataCellStyle="Output"/>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3146" displayName="Table3146" ref="K1:M8" totalsRowShown="0" headerRowDxfId="121" dataDxfId="120" dataCellStyle="Output">
  <autoFilter ref="K1:M8" xr:uid="{00000000-0009-0000-0100-000005000000}"/>
  <tableColumns count="3">
    <tableColumn id="1" xr3:uid="{00000000-0010-0000-0200-000001000000}" name="ENP-FS" dataDxfId="119" dataCellStyle="Output"/>
    <tableColumn id="2" xr3:uid="{00000000-0010-0000-0200-000002000000}" name="Basic" dataDxfId="118" dataCellStyle="Output"/>
    <tableColumn id="3" xr3:uid="{00000000-0010-0000-0200-000003000000}" name="Add. Time" dataDxfId="117" dataCellStyle="Output"/>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le213" displayName="Table213" ref="A1:I12" totalsRowShown="0" headerRowDxfId="116" dataDxfId="115" dataCellStyle="Output">
  <autoFilter ref="A1:I12" xr:uid="{00000000-0009-0000-0100-00000C000000}"/>
  <tableColumns count="9">
    <tableColumn id="1" xr3:uid="{00000000-0010-0000-0300-000001000000}" name="ENP" dataDxfId="114" totalsRowDxfId="113" dataCellStyle="Output"/>
    <tableColumn id="2" xr3:uid="{00000000-0010-0000-0300-000002000000}" name="DOF - QMS" dataDxfId="112" dataCellStyle="Output"/>
    <tableColumn id="3" xr3:uid="{00000000-0010-0000-0300-000003000000}" name="DOF - EMS" dataDxfId="111" dataCellStyle="Output"/>
    <tableColumn id="4" xr3:uid="{00000000-0010-0000-0300-000004000000}" name="L-QMS" dataDxfId="110" dataCellStyle="Output"/>
    <tableColumn id="5" xr3:uid="{00000000-0010-0000-0300-000005000000}" name="M-QMS" dataDxfId="109" dataCellStyle="Output"/>
    <tableColumn id="6" xr3:uid="{00000000-0010-0000-0300-000006000000}" name="H-QMS" dataDxfId="108" dataCellStyle="Output"/>
    <tableColumn id="7" xr3:uid="{00000000-0010-0000-0300-000007000000}" name="L-EHS" dataDxfId="107" dataCellStyle="Output"/>
    <tableColumn id="8" xr3:uid="{00000000-0010-0000-0300-000008000000}" name="M-EHS" dataDxfId="106" dataCellStyle="Output"/>
    <tableColumn id="9" xr3:uid="{00000000-0010-0000-0300-000009000000}" name="H-EHS" dataDxfId="105" dataCellStyle="Output"/>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Table314" displayName="Table314" ref="K1:M7" totalsRowShown="0" headerRowDxfId="104" dataDxfId="103" dataCellStyle="Output">
  <autoFilter ref="K1:M7" xr:uid="{00000000-0009-0000-0100-00000D000000}"/>
  <tableColumns count="3">
    <tableColumn id="1" xr3:uid="{00000000-0010-0000-0400-000001000000}" name="ENP-FS" dataDxfId="102" dataCellStyle="Output"/>
    <tableColumn id="2" xr3:uid="{00000000-0010-0000-0400-000002000000}" name="Basic" dataDxfId="101" dataCellStyle="Output"/>
    <tableColumn id="3" xr3:uid="{00000000-0010-0000-0400-000003000000}" name="Add. Time" dataDxfId="100" dataCellStyle="Output"/>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le2" displayName="Table2" ref="A1:N20" totalsRowShown="0" headerRowDxfId="99" dataDxfId="98" dataCellStyle="Output">
  <autoFilter ref="A1:N20" xr:uid="{00000000-0009-0000-0100-000002000000}"/>
  <tableColumns count="14">
    <tableColumn id="1" xr3:uid="{00000000-0010-0000-0500-000001000000}" name="ENP" dataDxfId="97" totalsRowDxfId="96" dataCellStyle="Output"/>
    <tableColumn id="2" xr3:uid="{00000000-0010-0000-0500-000002000000}" name="DOF - QMS" dataDxfId="95" dataCellStyle="Output"/>
    <tableColumn id="3" xr3:uid="{00000000-0010-0000-0500-000003000000}" name="DOF - EMS" dataDxfId="94" dataCellStyle="Output"/>
    <tableColumn id="19" xr3:uid="{00000000-0010-0000-0500-000013000000}" name="DOF - MDMS" dataDxfId="93" dataCellStyle="Output"/>
    <tableColumn id="20" xr3:uid="{00000000-0010-0000-0500-000014000000}" name="ENP - EnMS" dataDxfId="92" dataCellStyle="Output">
      <calculatedColumnFormula>IF('2-Calc. Sheet'!$K$15&gt;=1,IF('2-Calc. Sheet'!$K$15&lt;=5,'2-Calc. Sheet'!$K$15," ")," ")</calculatedColumnFormula>
    </tableColumn>
    <tableColumn id="4" xr3:uid="{00000000-0010-0000-0500-000004000000}" name="L-QMS" dataDxfId="91" dataCellStyle="Output">
      <calculatedColumnFormula>-($M$2*0.1)</calculatedColumnFormula>
    </tableColumn>
    <tableColumn id="5" xr3:uid="{00000000-0010-0000-0500-000005000000}" name="M-QMS" dataDxfId="90" dataCellStyle="Output"/>
    <tableColumn id="6" xr3:uid="{00000000-0010-0000-0500-000006000000}" name="H-QMS" dataDxfId="89" dataCellStyle="Output">
      <calculatedColumnFormula>$M$2*0.1</calculatedColumnFormula>
    </tableColumn>
    <tableColumn id="12" xr3:uid="{00000000-0010-0000-0500-00000C000000}" name="LIM-EHS" dataDxfId="88" dataCellStyle="Output"/>
    <tableColumn id="7" xr3:uid="{00000000-0010-0000-0500-000007000000}" name="L-EHS" dataDxfId="87" dataCellStyle="Output"/>
    <tableColumn id="8" xr3:uid="{00000000-0010-0000-0500-000008000000}" name="M-EHS" dataDxfId="86" dataCellStyle="Output"/>
    <tableColumn id="9" xr3:uid="{00000000-0010-0000-0500-000009000000}" name="H-EHS" dataDxfId="85" dataCellStyle="Output"/>
    <tableColumn id="10" xr3:uid="{00000000-0010-0000-0500-00000A000000}" name="Column1" dataDxfId="84" dataCellStyle="Output">
      <calculatedColumnFormula>VLOOKUP('2-Calc. Sheet'!I15,Sheet2!A1:L31,2,FALSE)-(IF('2-Calc. Sheet'!O25="0%","0",'2-Calc. Sheet'!O25*(VLOOKUP('2-Calc. Sheet'!I15,Sheet2!A1:L31,2,FALSE))/100))</calculatedColumnFormula>
    </tableColumn>
    <tableColumn id="13" xr3:uid="{00000000-0010-0000-0500-00000D000000}" name="Category" dataDxfId="83" dataCellStyle="Output"/>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3" displayName="Table3" ref="O1:R20" totalsRowShown="0" headerRowDxfId="82" dataDxfId="81" dataCellStyle="Output">
  <autoFilter ref="O1:R20" xr:uid="{00000000-0009-0000-0100-000003000000}"/>
  <tableColumns count="4">
    <tableColumn id="1" xr3:uid="{00000000-0010-0000-0600-000001000000}" name="ENP-FS" dataDxfId="80" dataCellStyle="Output"/>
    <tableColumn id="2" xr3:uid="{00000000-0010-0000-0600-000002000000}" name="TH" dataDxfId="79" dataCellStyle="Output"/>
    <tableColumn id="3" xr3:uid="{00000000-0010-0000-0600-000003000000}" name="Add. Time" dataDxfId="78" dataCellStyle="Output"/>
    <tableColumn id="4" xr3:uid="{00000000-0010-0000-0600-000004000000}" name="TD" dataDxfId="77" dataCellStyle="Output"/>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customProperty" Target="../customProperty6.bin"/><Relationship Id="rId1" Type="http://schemas.openxmlformats.org/officeDocument/2006/relationships/printerSettings" Target="../printerSettings/printerSettings17.bin"/><Relationship Id="rId4" Type="http://schemas.openxmlformats.org/officeDocument/2006/relationships/table" Target="../tables/table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externalLinkPath" Target="file:///C:\Users\Mohamed\Desktop\New%20Microsoft%20Excel%20Worksheet.xls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4.bin"/><Relationship Id="rId1" Type="http://schemas.openxmlformats.org/officeDocument/2006/relationships/externalLinkPath" Target="file:///C:\Users\Mohamed\Desktop\New%20Microsoft%20Excel%20Worksheet.xlsx"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externalLinkPath" Target="file:///C:\Users\Mohamed\Desktop\New%20Microsoft%20Excel%20Worksheet.xls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externalLinkPath" Target="file:///C:\Users\Mohamed\Desktop\New%20Microsoft%20Excel%20Worksheet.xls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externalLinkPath" Target="file:///C:\Users\Mohamed\Desktop\New%20Microsoft%20Excel%20Worksheet.xls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externalLinkPath" Target="file:///C:\Users\Mohamed\Desktop\New%20Microsoft%20Excel%20Worksheet.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0"/>
  <sheetViews>
    <sheetView topLeftCell="A3" workbookViewId="0">
      <selection activeCell="M11" sqref="M11"/>
    </sheetView>
  </sheetViews>
  <sheetFormatPr defaultRowHeight="15"/>
  <cols>
    <col min="2" max="2" width="7.85546875" customWidth="1"/>
  </cols>
  <sheetData>
    <row r="2" spans="2:9" ht="62.25" customHeight="1"/>
    <row r="3" spans="2:9" ht="69">
      <c r="B3" s="34" t="s">
        <v>0</v>
      </c>
      <c r="C3" s="35"/>
      <c r="D3" s="35"/>
      <c r="E3" s="35"/>
      <c r="F3" s="35"/>
      <c r="G3" s="35"/>
      <c r="H3" s="35"/>
      <c r="I3" s="35"/>
    </row>
    <row r="4" spans="2:9" ht="69">
      <c r="C4" s="33"/>
    </row>
    <row r="9" spans="2:9" ht="61.5">
      <c r="D9" s="32"/>
    </row>
    <row r="20" spans="3:3">
      <c r="C20" s="31"/>
    </row>
  </sheetData>
  <sheetProtection algorithmName="SHA-512" hashValue="T0qmrmFcNJWiRlitTTfxAzOL+IoaOy3KKjdqB4mUlf1uPea1BANvqenE8phO54X/1xggC0Vq+7pbBBrblLqeOA==" saltValue="ClrVXSSwONRMmT570tmEDw=="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S56"/>
  <sheetViews>
    <sheetView showGridLines="0" topLeftCell="A32" zoomScaleNormal="100" workbookViewId="0">
      <selection activeCell="G46" sqref="G46:H46"/>
    </sheetView>
  </sheetViews>
  <sheetFormatPr defaultColWidth="9" defaultRowHeight="15"/>
  <cols>
    <col min="1" max="1" width="9.140625" style="141" customWidth="1"/>
    <col min="2" max="2" width="12.42578125" style="141" customWidth="1"/>
    <col min="3" max="3" width="9" style="141"/>
    <col min="4" max="4" width="10.42578125" style="141" customWidth="1"/>
    <col min="5" max="5" width="11.42578125" style="141" customWidth="1"/>
    <col min="6" max="6" width="8.140625" style="141" customWidth="1"/>
    <col min="7" max="7" width="6.140625" style="141" customWidth="1"/>
    <col min="8" max="8" width="6.42578125" style="141" customWidth="1"/>
    <col min="9" max="9" width="16.42578125" style="141" customWidth="1"/>
    <col min="10" max="14" width="9" style="141"/>
    <col min="15" max="15" width="9" style="141" customWidth="1"/>
    <col min="16" max="16" width="5.5703125" style="141" customWidth="1"/>
    <col min="17" max="17" width="4.42578125" style="141" customWidth="1"/>
    <col min="18" max="18" width="22.85546875" style="141" customWidth="1"/>
    <col min="19" max="19" width="5.85546875" style="141" hidden="1" customWidth="1"/>
    <col min="20" max="16384" width="9" style="141"/>
  </cols>
  <sheetData>
    <row r="1" spans="1:19" ht="14.25" customHeight="1">
      <c r="A1" s="799" t="s">
        <v>1</v>
      </c>
      <c r="B1" s="799"/>
      <c r="C1" s="799"/>
      <c r="D1" s="799"/>
      <c r="E1" s="140"/>
      <c r="F1" s="140"/>
      <c r="G1" s="140"/>
      <c r="H1" s="903" t="s">
        <v>376</v>
      </c>
      <c r="I1" s="903"/>
      <c r="J1" s="799" t="s">
        <v>3</v>
      </c>
      <c r="K1" s="799"/>
      <c r="L1" s="799"/>
      <c r="M1" s="799"/>
      <c r="Q1" s="140"/>
      <c r="R1" s="903" t="s">
        <v>376</v>
      </c>
      <c r="S1" s="903"/>
    </row>
    <row r="2" spans="1:19" ht="14.25" customHeight="1">
      <c r="A2" s="799"/>
      <c r="B2" s="799"/>
      <c r="C2" s="799"/>
      <c r="D2" s="799"/>
      <c r="E2" s="140"/>
      <c r="F2" s="903" t="s">
        <v>377</v>
      </c>
      <c r="G2" s="903"/>
      <c r="H2" s="903"/>
      <c r="I2" s="903"/>
      <c r="J2" s="799"/>
      <c r="K2" s="799"/>
      <c r="L2" s="799"/>
      <c r="M2" s="799"/>
      <c r="P2" s="903" t="s">
        <v>378</v>
      </c>
      <c r="Q2" s="903"/>
      <c r="R2" s="903"/>
      <c r="S2" s="903"/>
    </row>
    <row r="3" spans="1:19" ht="14.25" customHeight="1">
      <c r="A3" s="799"/>
      <c r="B3" s="799"/>
      <c r="C3" s="799"/>
      <c r="D3" s="799"/>
      <c r="E3" s="140"/>
      <c r="F3" s="140"/>
      <c r="G3" s="910" t="s">
        <v>1091</v>
      </c>
      <c r="H3" s="910"/>
      <c r="I3" s="910"/>
      <c r="J3" s="799"/>
      <c r="K3" s="799"/>
      <c r="L3" s="799"/>
      <c r="M3" s="799"/>
      <c r="Q3" s="910" t="s">
        <v>1091</v>
      </c>
      <c r="R3" s="910"/>
      <c r="S3" s="910"/>
    </row>
    <row r="4" spans="1:19">
      <c r="A4" s="904" t="s">
        <v>379</v>
      </c>
      <c r="B4" s="905"/>
      <c r="C4" s="905"/>
      <c r="D4" s="905"/>
      <c r="E4" s="905"/>
      <c r="F4" s="905"/>
      <c r="G4" s="905"/>
      <c r="H4" s="905"/>
      <c r="I4" s="906"/>
      <c r="J4" s="904" t="s">
        <v>380</v>
      </c>
      <c r="K4" s="905"/>
      <c r="L4" s="905"/>
      <c r="M4" s="905"/>
      <c r="N4" s="905"/>
      <c r="O4" s="905"/>
      <c r="P4" s="905"/>
      <c r="Q4" s="905"/>
      <c r="R4" s="906"/>
    </row>
    <row r="5" spans="1:19">
      <c r="A5" s="907" t="s">
        <v>381</v>
      </c>
      <c r="B5" s="908"/>
      <c r="C5" s="908"/>
      <c r="D5" s="908"/>
      <c r="E5" s="908"/>
      <c r="F5" s="908"/>
      <c r="G5" s="343" t="s">
        <v>382</v>
      </c>
      <c r="H5" s="993" t="str">
        <f>'5-ATJIF-02'!H7:I7</f>
        <v>CSC-Q0-2022</v>
      </c>
      <c r="I5" s="994"/>
      <c r="J5" s="907" t="s">
        <v>383</v>
      </c>
      <c r="K5" s="908"/>
      <c r="L5" s="908"/>
      <c r="M5" s="908"/>
      <c r="N5" s="908"/>
      <c r="O5" s="908"/>
      <c r="P5" s="908"/>
      <c r="Q5" s="343" t="s">
        <v>382</v>
      </c>
      <c r="R5" s="909" t="str">
        <f>H5</f>
        <v>CSC-Q0-2022</v>
      </c>
      <c r="S5" s="909"/>
    </row>
    <row r="6" spans="1:19">
      <c r="A6" s="987" t="s">
        <v>384</v>
      </c>
      <c r="B6" s="988"/>
      <c r="C6" s="995" t="s">
        <v>385</v>
      </c>
      <c r="D6" s="996"/>
      <c r="E6" s="996"/>
      <c r="F6" s="996"/>
      <c r="G6" s="344" t="s">
        <v>386</v>
      </c>
      <c r="H6" s="991">
        <f>G49</f>
        <v>0</v>
      </c>
      <c r="I6" s="992"/>
      <c r="J6" s="987" t="s">
        <v>384</v>
      </c>
      <c r="K6" s="988"/>
      <c r="L6" s="989" t="str">
        <f>C6</f>
        <v>Initial</v>
      </c>
      <c r="M6" s="990"/>
      <c r="N6" s="990"/>
      <c r="O6" s="990"/>
      <c r="P6" s="344" t="s">
        <v>386</v>
      </c>
      <c r="Q6" s="991">
        <f>G49</f>
        <v>0</v>
      </c>
      <c r="R6" s="992"/>
      <c r="S6" s="345"/>
    </row>
    <row r="7" spans="1:19" ht="24.75" customHeight="1">
      <c r="A7" s="933" t="s">
        <v>112</v>
      </c>
      <c r="B7" s="933"/>
      <c r="C7" s="922">
        <f>'5-ATJIF-02'!C13</f>
        <v>0</v>
      </c>
      <c r="D7" s="923"/>
      <c r="E7" s="923"/>
      <c r="F7" s="924"/>
      <c r="G7" s="346" t="s">
        <v>43</v>
      </c>
      <c r="H7" s="189" t="str">
        <f>IF(G7="No","Comment","Done")</f>
        <v>Done</v>
      </c>
      <c r="I7" s="347"/>
      <c r="J7" s="933" t="s">
        <v>387</v>
      </c>
      <c r="K7" s="933"/>
      <c r="L7" s="982"/>
      <c r="M7" s="983"/>
      <c r="N7" s="983"/>
      <c r="O7" s="348" t="s">
        <v>389</v>
      </c>
      <c r="P7" s="984" t="e">
        <f>VLOOKUP(L7,Auditors!B1:H16,7,FALSE)</f>
        <v>#N/A</v>
      </c>
      <c r="Q7" s="985"/>
      <c r="R7" s="349"/>
      <c r="S7" s="350"/>
    </row>
    <row r="8" spans="1:19" ht="25.15" customHeight="1">
      <c r="A8" s="933" t="s">
        <v>116</v>
      </c>
      <c r="B8" s="933"/>
      <c r="C8" s="922" t="str">
        <f>'5-ATJIF-02'!C14&amp;" - "&amp;'5-ATJIF-02'!I14</f>
        <v xml:space="preserve"> - Egypt</v>
      </c>
      <c r="D8" s="923"/>
      <c r="E8" s="923"/>
      <c r="F8" s="924"/>
      <c r="G8" s="346" t="s">
        <v>43</v>
      </c>
      <c r="H8" s="189" t="str">
        <f t="shared" ref="H8:H13" si="0">IF(G8="No","Comment","Done")</f>
        <v>Done</v>
      </c>
      <c r="I8" s="347"/>
      <c r="J8" s="933" t="s">
        <v>390</v>
      </c>
      <c r="K8" s="933"/>
      <c r="L8" s="982"/>
      <c r="M8" s="983"/>
      <c r="N8" s="983"/>
      <c r="O8" s="348" t="s">
        <v>389</v>
      </c>
      <c r="P8" s="984" t="e">
        <f>VLOOKUP(L8,Auditors!B2:H16,7,FALSE)</f>
        <v>#N/A</v>
      </c>
      <c r="Q8" s="985"/>
      <c r="R8" s="349" t="s">
        <v>391</v>
      </c>
      <c r="S8" s="350"/>
    </row>
    <row r="9" spans="1:19" ht="25.15" customHeight="1">
      <c r="A9" s="986" t="s">
        <v>392</v>
      </c>
      <c r="B9" s="986"/>
      <c r="C9" s="922"/>
      <c r="D9" s="923"/>
      <c r="E9" s="923"/>
      <c r="F9" s="924"/>
      <c r="G9" s="346" t="s">
        <v>43</v>
      </c>
      <c r="H9" s="189" t="str">
        <f t="shared" si="0"/>
        <v>Done</v>
      </c>
      <c r="I9" s="347"/>
      <c r="J9" s="986" t="s">
        <v>206</v>
      </c>
      <c r="K9" s="986"/>
      <c r="L9" s="982"/>
      <c r="M9" s="983"/>
      <c r="N9" s="983"/>
      <c r="O9" s="348" t="s">
        <v>389</v>
      </c>
      <c r="P9" s="984" t="e">
        <f>VLOOKUP(L9,Auditors!B3:H16,7,FALSE)</f>
        <v>#N/A</v>
      </c>
      <c r="Q9" s="985"/>
      <c r="R9" s="349" t="s">
        <v>391</v>
      </c>
      <c r="S9" s="350"/>
    </row>
    <row r="10" spans="1:19" ht="25.15" customHeight="1">
      <c r="A10" s="980" t="s">
        <v>393</v>
      </c>
      <c r="B10" s="981"/>
      <c r="C10" s="922" t="str">
        <f>'5-ATJIF-02'!C18</f>
        <v>QMS 2015</v>
      </c>
      <c r="D10" s="923"/>
      <c r="E10" s="923"/>
      <c r="F10" s="351" t="str">
        <f>'5-ATJIF-02'!I19</f>
        <v>EGAC</v>
      </c>
      <c r="G10" s="346" t="s">
        <v>43</v>
      </c>
      <c r="H10" s="189" t="str">
        <f t="shared" si="0"/>
        <v>Done</v>
      </c>
      <c r="I10" s="347"/>
      <c r="J10" s="900" t="s">
        <v>394</v>
      </c>
      <c r="K10" s="901"/>
      <c r="L10" s="901"/>
      <c r="M10" s="901"/>
      <c r="N10" s="901"/>
      <c r="O10" s="902"/>
      <c r="P10" s="352" t="s">
        <v>43</v>
      </c>
      <c r="Q10" s="189" t="str">
        <f>IF(P10="No","Comment","Done")</f>
        <v>Done</v>
      </c>
      <c r="R10" s="347"/>
    </row>
    <row r="11" spans="1:19" ht="25.15" customHeight="1">
      <c r="A11" s="933" t="s">
        <v>64</v>
      </c>
      <c r="B11" s="933"/>
      <c r="C11" s="922">
        <f>'5-ATJIF-02'!C20</f>
        <v>0</v>
      </c>
      <c r="D11" s="923"/>
      <c r="E11" s="923"/>
      <c r="F11" s="924"/>
      <c r="G11" s="346" t="s">
        <v>43</v>
      </c>
      <c r="H11" s="189" t="str">
        <f t="shared" si="0"/>
        <v>Done</v>
      </c>
      <c r="I11" s="347"/>
      <c r="J11" s="900" t="s">
        <v>395</v>
      </c>
      <c r="K11" s="901"/>
      <c r="L11" s="901"/>
      <c r="M11" s="901"/>
      <c r="N11" s="901"/>
      <c r="O11" s="902"/>
      <c r="P11" s="352" t="s">
        <v>43</v>
      </c>
      <c r="Q11" s="189" t="str">
        <f t="shared" ref="Q11:Q13" si="1">IF(P11="No","Comment","Done")</f>
        <v>Done</v>
      </c>
      <c r="R11" s="347"/>
    </row>
    <row r="12" spans="1:19" ht="25.15" customHeight="1">
      <c r="A12" s="980" t="s">
        <v>396</v>
      </c>
      <c r="B12" s="981"/>
      <c r="C12" s="353">
        <f>'5-ATJIF-02'!H25</f>
        <v>0</v>
      </c>
      <c r="D12" s="353">
        <f>'5-ATJIF-02'!I25</f>
        <v>0</v>
      </c>
      <c r="E12" s="354">
        <f>'2-Calc. Sheet'!E11</f>
        <v>1</v>
      </c>
      <c r="F12" s="355">
        <f>'2-Calc. Sheet'!I13</f>
        <v>1</v>
      </c>
      <c r="G12" s="346" t="s">
        <v>43</v>
      </c>
      <c r="H12" s="189" t="str">
        <f t="shared" si="0"/>
        <v>Done</v>
      </c>
      <c r="I12" s="347"/>
      <c r="J12" s="900" t="s">
        <v>397</v>
      </c>
      <c r="K12" s="901"/>
      <c r="L12" s="901"/>
      <c r="M12" s="901"/>
      <c r="N12" s="901"/>
      <c r="O12" s="902"/>
      <c r="P12" s="352" t="s">
        <v>43</v>
      </c>
      <c r="Q12" s="189" t="str">
        <f t="shared" si="1"/>
        <v>Done</v>
      </c>
      <c r="R12" s="347"/>
    </row>
    <row r="13" spans="1:19" ht="25.15" customHeight="1">
      <c r="A13" s="933" t="s">
        <v>398</v>
      </c>
      <c r="B13" s="933"/>
      <c r="C13" s="922" t="s">
        <v>399</v>
      </c>
      <c r="D13" s="923"/>
      <c r="E13" s="923"/>
      <c r="F13" s="924"/>
      <c r="G13" s="346" t="s">
        <v>43</v>
      </c>
      <c r="H13" s="189" t="str">
        <f t="shared" si="0"/>
        <v>Done</v>
      </c>
      <c r="I13" s="347"/>
      <c r="J13" s="900" t="s">
        <v>400</v>
      </c>
      <c r="K13" s="901"/>
      <c r="L13" s="901"/>
      <c r="M13" s="901"/>
      <c r="N13" s="901"/>
      <c r="O13" s="902"/>
      <c r="P13" s="352" t="s">
        <v>401</v>
      </c>
      <c r="Q13" s="189" t="str">
        <f t="shared" si="1"/>
        <v>Done</v>
      </c>
      <c r="R13" s="347"/>
    </row>
    <row r="14" spans="1:19" ht="13.15" customHeight="1" thickBot="1">
      <c r="A14" s="999"/>
      <c r="B14" s="999"/>
      <c r="C14" s="999"/>
      <c r="D14" s="999"/>
      <c r="E14" s="1000"/>
      <c r="F14" s="1000"/>
      <c r="G14" s="1000"/>
      <c r="H14" s="1000"/>
      <c r="I14" s="1001"/>
      <c r="J14" s="973" t="s">
        <v>402</v>
      </c>
      <c r="K14" s="974"/>
      <c r="L14" s="974"/>
      <c r="M14" s="974"/>
      <c r="N14" s="974"/>
      <c r="O14" s="975"/>
      <c r="P14" s="914" t="s">
        <v>43</v>
      </c>
      <c r="Q14" s="969" t="str">
        <f>IF(P15="No","Comment","Done")</f>
        <v>Done</v>
      </c>
      <c r="R14" s="971"/>
    </row>
    <row r="15" spans="1:19" ht="25.15" customHeight="1" thickTop="1">
      <c r="A15" s="933" t="s">
        <v>403</v>
      </c>
      <c r="B15" s="933"/>
      <c r="C15" s="922">
        <f>'5-ATJIF-02'!L13</f>
        <v>0</v>
      </c>
      <c r="D15" s="923"/>
      <c r="E15" s="358" t="str">
        <f>IF(C6="Initial","Stage I",IF(C6="Recertification","Stage I (RC)",C6))</f>
        <v>Stage I</v>
      </c>
      <c r="F15" s="359">
        <f>IF(E15="Stage I",'5-ATJIF-01'!R14,IF('CRMR-INT'!E15="Stage I (RC)",'5-ATJIF-01'!R14,IF('CRMR-INT'!E15="Surveillance I",'5-ATJIF-02'!R15,IF('CRMR-INT'!E15="ISO Transfer@Surv. I",'5-ATJIF-02'!R15,IF('CRMR-INT'!E15="Surveillance II",'5-ATJIF-02'!R15,IF('CRMR-INT'!E15="ISO Transfer@Surv. II",'5-ATJIF-02'!R15,IF('CRMR-INT'!E15="Special visit (Scope Ext.)",'5-ATJIF-02'!R15,0)))))))</f>
        <v>0</v>
      </c>
      <c r="G15" s="360" t="s">
        <v>70</v>
      </c>
      <c r="H15" s="1002">
        <f>IF(E15="Stage I",'5-ATJIF-01'!L15,IF('CRMR-INT'!E15="Stage I (RC)",'5-ATJIF-01'!L15,IF('CRMR-INT'!E15="Surveillance I",'5-ATJIF-02'!L16,IF('CRMR-INT'!E15="ISO Transfer@Surv. I",'5-ATJIF-02'!L16,IF('CRMR-INT'!E15="Surveillance II",'5-ATJIF-02'!L16,IF('CRMR-INT'!E15="ISO Transfer@Surv. II",'5-ATJIF-02'!L16,IF('CRMR-INT'!E15="Special visit (Scope Ext.)",'5-ATJIF-02'!L16," ")))))))</f>
        <v>0</v>
      </c>
      <c r="I15" s="1003"/>
      <c r="J15" s="976"/>
      <c r="K15" s="977"/>
      <c r="L15" s="977"/>
      <c r="M15" s="977"/>
      <c r="N15" s="977"/>
      <c r="O15" s="978"/>
      <c r="P15" s="915"/>
      <c r="Q15" s="970"/>
      <c r="R15" s="972"/>
    </row>
    <row r="16" spans="1:19" ht="25.15" customHeight="1">
      <c r="A16" s="933" t="s">
        <v>404</v>
      </c>
      <c r="B16" s="979"/>
      <c r="C16" s="922" t="e">
        <f>'5-ATJIF-02'!N13</f>
        <v>#N/A</v>
      </c>
      <c r="D16" s="923"/>
      <c r="E16" s="361" t="str">
        <f>IF(C6="Initial","Stage II",IF(C6="Recertification","Recertification"," "))</f>
        <v>Stage II</v>
      </c>
      <c r="F16" s="362">
        <f>IF(E16="Stage II",'5-ATJIF-02'!R15,IF('CRMR-INT'!E16="Recertification",'5-ATJIF-02'!R15,0))</f>
        <v>0</v>
      </c>
      <c r="G16" s="363" t="s">
        <v>70</v>
      </c>
      <c r="H16" s="1004">
        <f>IF(E16="Stage II",'5-ATJIF-02'!L16,IF('CRMR-INT'!E16="Recertification",'5-ATJIF-02'!L16," "))</f>
        <v>0</v>
      </c>
      <c r="I16" s="1005"/>
      <c r="J16" s="911" t="s">
        <v>405</v>
      </c>
      <c r="K16" s="912"/>
      <c r="L16" s="912"/>
      <c r="M16" s="912"/>
      <c r="N16" s="912"/>
      <c r="O16" s="913"/>
      <c r="P16" s="352" t="s">
        <v>43</v>
      </c>
      <c r="Q16" s="189" t="str">
        <f>IF(P16="No","Comment","Done")</f>
        <v>Done</v>
      </c>
      <c r="R16" s="347"/>
    </row>
    <row r="17" spans="1:18" ht="24.75" customHeight="1" thickBot="1">
      <c r="A17" s="933" t="s">
        <v>404</v>
      </c>
      <c r="B17" s="979"/>
      <c r="C17" s="922" t="e">
        <f>'5-ATJIF-02'!P13</f>
        <v>#N/A</v>
      </c>
      <c r="D17" s="923"/>
      <c r="E17" s="364" t="s">
        <v>406</v>
      </c>
      <c r="F17" s="365">
        <f>F15+F16</f>
        <v>0</v>
      </c>
      <c r="G17" s="366" t="s">
        <v>407</v>
      </c>
      <c r="H17" s="997">
        <f>'5-ATJIF-02'!I20</f>
        <v>29</v>
      </c>
      <c r="I17" s="998"/>
      <c r="J17" s="911" t="s">
        <v>408</v>
      </c>
      <c r="K17" s="912"/>
      <c r="L17" s="912"/>
      <c r="M17" s="912"/>
      <c r="N17" s="912"/>
      <c r="O17" s="913"/>
      <c r="P17" s="352" t="s">
        <v>43</v>
      </c>
      <c r="Q17" s="189" t="str">
        <f t="shared" ref="Q17:Q19" si="2">IF(P17="No","Comment","Done")</f>
        <v>Done</v>
      </c>
      <c r="R17" s="347"/>
    </row>
    <row r="18" spans="1:18" ht="24.75" customHeight="1" thickTop="1">
      <c r="A18" s="911" t="s">
        <v>409</v>
      </c>
      <c r="B18" s="912"/>
      <c r="C18" s="912"/>
      <c r="D18" s="912"/>
      <c r="E18" s="912"/>
      <c r="F18" s="913"/>
      <c r="G18" s="352" t="s">
        <v>43</v>
      </c>
      <c r="H18" s="189" t="str">
        <f>IF(G18="No","Comment","Done")</f>
        <v>Done</v>
      </c>
      <c r="I18" s="347"/>
      <c r="J18" s="916" t="s">
        <v>410</v>
      </c>
      <c r="K18" s="917"/>
      <c r="L18" s="917"/>
      <c r="M18" s="917"/>
      <c r="N18" s="917"/>
      <c r="O18" s="918"/>
      <c r="P18" s="356" t="s">
        <v>43</v>
      </c>
      <c r="Q18" s="189" t="str">
        <f t="shared" si="2"/>
        <v>Done</v>
      </c>
      <c r="R18" s="357"/>
    </row>
    <row r="19" spans="1:18" ht="24.95" customHeight="1">
      <c r="A19" s="911" t="s">
        <v>411</v>
      </c>
      <c r="B19" s="912"/>
      <c r="C19" s="912"/>
      <c r="D19" s="912"/>
      <c r="E19" s="912"/>
      <c r="F19" s="913"/>
      <c r="G19" s="352" t="s">
        <v>43</v>
      </c>
      <c r="H19" s="189" t="str">
        <f t="shared" ref="H19:H28" si="3">IF(G19="No","Comment","Done")</f>
        <v>Done</v>
      </c>
      <c r="I19" s="347"/>
      <c r="J19" s="900" t="s">
        <v>412</v>
      </c>
      <c r="K19" s="901"/>
      <c r="L19" s="901"/>
      <c r="M19" s="901"/>
      <c r="N19" s="901"/>
      <c r="O19" s="902"/>
      <c r="P19" s="352" t="s">
        <v>43</v>
      </c>
      <c r="Q19" s="189" t="str">
        <f t="shared" si="2"/>
        <v>Done</v>
      </c>
      <c r="R19" s="347"/>
    </row>
    <row r="20" spans="1:18" ht="24.95" customHeight="1">
      <c r="A20" s="911" t="s">
        <v>413</v>
      </c>
      <c r="B20" s="912"/>
      <c r="C20" s="912"/>
      <c r="D20" s="912"/>
      <c r="E20" s="912"/>
      <c r="F20" s="913"/>
      <c r="G20" s="352" t="s">
        <v>43</v>
      </c>
      <c r="H20" s="189" t="str">
        <f t="shared" si="3"/>
        <v>Done</v>
      </c>
      <c r="I20" s="347"/>
      <c r="J20" s="916" t="s">
        <v>414</v>
      </c>
      <c r="K20" s="917"/>
      <c r="L20" s="917"/>
      <c r="M20" s="917"/>
      <c r="N20" s="917"/>
      <c r="O20" s="918"/>
      <c r="P20" s="914" t="s">
        <v>401</v>
      </c>
      <c r="Q20" s="969" t="str">
        <f>IF(P20="No","Comment","Done")</f>
        <v>Done</v>
      </c>
      <c r="R20" s="971"/>
    </row>
    <row r="21" spans="1:18" ht="24.95" customHeight="1">
      <c r="A21" s="900" t="s">
        <v>415</v>
      </c>
      <c r="B21" s="901"/>
      <c r="C21" s="901"/>
      <c r="D21" s="901"/>
      <c r="E21" s="901"/>
      <c r="F21" s="902"/>
      <c r="G21" s="352" t="s">
        <v>401</v>
      </c>
      <c r="H21" s="189" t="str">
        <f t="shared" si="3"/>
        <v>Done</v>
      </c>
      <c r="I21" s="347"/>
      <c r="J21" s="919"/>
      <c r="K21" s="920"/>
      <c r="L21" s="920"/>
      <c r="M21" s="920"/>
      <c r="N21" s="920"/>
      <c r="O21" s="921"/>
      <c r="P21" s="915"/>
      <c r="Q21" s="970"/>
      <c r="R21" s="972"/>
    </row>
    <row r="22" spans="1:18" ht="27" customHeight="1">
      <c r="A22" s="900" t="s">
        <v>416</v>
      </c>
      <c r="B22" s="901"/>
      <c r="C22" s="901"/>
      <c r="D22" s="901"/>
      <c r="E22" s="901"/>
      <c r="F22" s="902"/>
      <c r="G22" s="352" t="s">
        <v>401</v>
      </c>
      <c r="H22" s="189" t="str">
        <f t="shared" si="3"/>
        <v>Done</v>
      </c>
      <c r="I22" s="347"/>
      <c r="J22" s="911" t="s">
        <v>417</v>
      </c>
      <c r="K22" s="912"/>
      <c r="L22" s="912"/>
      <c r="M22" s="912"/>
      <c r="N22" s="912"/>
      <c r="O22" s="913"/>
      <c r="P22" s="352" t="s">
        <v>43</v>
      </c>
      <c r="Q22" s="189" t="str">
        <f>IF(P22="No","Comment","Done")</f>
        <v>Done</v>
      </c>
      <c r="R22" s="367"/>
    </row>
    <row r="23" spans="1:18" ht="24.95" customHeight="1">
      <c r="A23" s="911" t="s">
        <v>418</v>
      </c>
      <c r="B23" s="912"/>
      <c r="C23" s="912"/>
      <c r="D23" s="912"/>
      <c r="E23" s="912"/>
      <c r="F23" s="913"/>
      <c r="G23" s="352" t="s">
        <v>43</v>
      </c>
      <c r="H23" s="189" t="str">
        <f t="shared" si="3"/>
        <v>Done</v>
      </c>
      <c r="I23" s="347"/>
      <c r="J23" s="900" t="s">
        <v>419</v>
      </c>
      <c r="K23" s="901"/>
      <c r="L23" s="901"/>
      <c r="M23" s="901"/>
      <c r="N23" s="901"/>
      <c r="O23" s="902"/>
      <c r="P23" s="352" t="s">
        <v>401</v>
      </c>
      <c r="Q23" s="189" t="str">
        <f t="shared" ref="Q23:Q28" si="4">IF(P23="No","Comment","Done")</f>
        <v>Done</v>
      </c>
      <c r="R23" s="347"/>
    </row>
    <row r="24" spans="1:18" ht="30" customHeight="1">
      <c r="A24" s="900" t="s">
        <v>420</v>
      </c>
      <c r="B24" s="901"/>
      <c r="C24" s="901"/>
      <c r="D24" s="901"/>
      <c r="E24" s="901"/>
      <c r="F24" s="902"/>
      <c r="G24" s="352" t="s">
        <v>43</v>
      </c>
      <c r="H24" s="189" t="str">
        <f t="shared" si="3"/>
        <v>Done</v>
      </c>
      <c r="I24" s="347"/>
      <c r="J24" s="911" t="s">
        <v>421</v>
      </c>
      <c r="K24" s="912"/>
      <c r="L24" s="912"/>
      <c r="M24" s="912"/>
      <c r="N24" s="912"/>
      <c r="O24" s="913"/>
      <c r="P24" s="352" t="s">
        <v>401</v>
      </c>
      <c r="Q24" s="189" t="str">
        <f t="shared" si="4"/>
        <v>Done</v>
      </c>
      <c r="R24" s="347"/>
    </row>
    <row r="25" spans="1:18" ht="24.75" customHeight="1">
      <c r="A25" s="900" t="s">
        <v>422</v>
      </c>
      <c r="B25" s="901"/>
      <c r="C25" s="901"/>
      <c r="D25" s="901"/>
      <c r="E25" s="901"/>
      <c r="F25" s="902"/>
      <c r="G25" s="352" t="s">
        <v>43</v>
      </c>
      <c r="H25" s="189" t="str">
        <f t="shared" si="3"/>
        <v>Done</v>
      </c>
      <c r="I25" s="347"/>
      <c r="J25" s="922" t="s">
        <v>423</v>
      </c>
      <c r="K25" s="923"/>
      <c r="L25" s="923"/>
      <c r="M25" s="923"/>
      <c r="N25" s="923"/>
      <c r="O25" s="924"/>
      <c r="P25" s="352" t="s">
        <v>401</v>
      </c>
      <c r="Q25" s="189" t="str">
        <f t="shared" ref="Q25" si="5">IF(P25="No","Comment","Done")</f>
        <v>Done</v>
      </c>
      <c r="R25" s="347"/>
    </row>
    <row r="26" spans="1:18" ht="24.95" customHeight="1">
      <c r="A26" s="900" t="s">
        <v>424</v>
      </c>
      <c r="B26" s="901"/>
      <c r="C26" s="901"/>
      <c r="D26" s="901"/>
      <c r="E26" s="901"/>
      <c r="F26" s="902"/>
      <c r="G26" s="352" t="s">
        <v>43</v>
      </c>
      <c r="H26" s="189" t="str">
        <f t="shared" si="3"/>
        <v>Done</v>
      </c>
      <c r="I26" s="347"/>
      <c r="J26" s="911" t="s">
        <v>425</v>
      </c>
      <c r="K26" s="912"/>
      <c r="L26" s="912"/>
      <c r="M26" s="912"/>
      <c r="N26" s="912"/>
      <c r="O26" s="913"/>
      <c r="P26" s="352" t="s">
        <v>401</v>
      </c>
      <c r="Q26" s="189" t="str">
        <f t="shared" si="4"/>
        <v>Done</v>
      </c>
      <c r="R26" s="347"/>
    </row>
    <row r="27" spans="1:18" ht="24.95" customHeight="1">
      <c r="A27" s="900" t="s">
        <v>426</v>
      </c>
      <c r="B27" s="901"/>
      <c r="C27" s="901"/>
      <c r="D27" s="901"/>
      <c r="E27" s="901"/>
      <c r="F27" s="902"/>
      <c r="G27" s="352" t="s">
        <v>43</v>
      </c>
      <c r="H27" s="189" t="str">
        <f t="shared" si="3"/>
        <v>Done</v>
      </c>
      <c r="I27" s="347"/>
      <c r="J27" s="900" t="s">
        <v>427</v>
      </c>
      <c r="K27" s="901"/>
      <c r="L27" s="901"/>
      <c r="M27" s="901"/>
      <c r="N27" s="901"/>
      <c r="O27" s="902"/>
      <c r="P27" s="352" t="s">
        <v>43</v>
      </c>
      <c r="Q27" s="189" t="str">
        <f t="shared" si="4"/>
        <v>Done</v>
      </c>
      <c r="R27" s="347"/>
    </row>
    <row r="28" spans="1:18" ht="24.95" customHeight="1">
      <c r="A28" s="911" t="s">
        <v>428</v>
      </c>
      <c r="B28" s="912"/>
      <c r="C28" s="912"/>
      <c r="D28" s="912"/>
      <c r="E28" s="912"/>
      <c r="F28" s="913"/>
      <c r="G28" s="352" t="s">
        <v>43</v>
      </c>
      <c r="H28" s="189" t="str">
        <f t="shared" si="3"/>
        <v>Done</v>
      </c>
      <c r="I28" s="347"/>
      <c r="J28" s="900" t="s">
        <v>429</v>
      </c>
      <c r="K28" s="901"/>
      <c r="L28" s="901"/>
      <c r="M28" s="901"/>
      <c r="N28" s="901"/>
      <c r="O28" s="902"/>
      <c r="P28" s="352" t="s">
        <v>43</v>
      </c>
      <c r="Q28" s="189" t="str">
        <f t="shared" si="4"/>
        <v>Done</v>
      </c>
      <c r="R28" s="347"/>
    </row>
    <row r="29" spans="1:18" ht="24.95" customHeight="1">
      <c r="A29" s="911" t="s">
        <v>430</v>
      </c>
      <c r="B29" s="912"/>
      <c r="C29" s="912"/>
      <c r="D29" s="912"/>
      <c r="E29" s="912"/>
      <c r="F29" s="913"/>
      <c r="G29" s="352" t="s">
        <v>21</v>
      </c>
      <c r="H29" s="189" t="str">
        <f>IF(G29="No","Done","Comment")</f>
        <v>Done</v>
      </c>
      <c r="I29" s="347"/>
      <c r="J29" s="916" t="s">
        <v>431</v>
      </c>
      <c r="K29" s="917"/>
      <c r="L29" s="917"/>
      <c r="M29" s="917"/>
      <c r="N29" s="917"/>
      <c r="O29" s="918"/>
      <c r="P29" s="914" t="s">
        <v>43</v>
      </c>
      <c r="Q29" s="969" t="str">
        <f>IF(P29="No","Comment","Done")</f>
        <v>Done</v>
      </c>
      <c r="R29" s="971"/>
    </row>
    <row r="30" spans="1:18">
      <c r="A30" s="925" t="s">
        <v>432</v>
      </c>
      <c r="B30" s="925"/>
      <c r="C30" s="926" t="s">
        <v>433</v>
      </c>
      <c r="D30" s="926"/>
      <c r="E30" s="926"/>
      <c r="F30" s="926"/>
      <c r="G30" s="368" t="s">
        <v>434</v>
      </c>
      <c r="H30" s="927"/>
      <c r="I30" s="927"/>
      <c r="J30" s="919"/>
      <c r="K30" s="920"/>
      <c r="L30" s="920"/>
      <c r="M30" s="920"/>
      <c r="N30" s="920"/>
      <c r="O30" s="921"/>
      <c r="P30" s="915"/>
      <c r="Q30" s="970"/>
      <c r="R30" s="972"/>
    </row>
    <row r="31" spans="1:18" ht="14.25" customHeight="1"/>
    <row r="32" spans="1:18" ht="14.25" customHeight="1">
      <c r="A32" s="799" t="s">
        <v>1</v>
      </c>
      <c r="B32" s="799"/>
      <c r="C32" s="799"/>
      <c r="D32" s="799"/>
      <c r="E32" s="140"/>
      <c r="F32" s="140"/>
      <c r="G32" s="140"/>
      <c r="H32" s="903" t="s">
        <v>376</v>
      </c>
      <c r="I32" s="903"/>
    </row>
    <row r="33" spans="1:9" ht="14.25" customHeight="1">
      <c r="A33" s="799"/>
      <c r="B33" s="799"/>
      <c r="C33" s="799"/>
      <c r="D33" s="799"/>
      <c r="E33" s="140"/>
      <c r="F33" s="903" t="s">
        <v>435</v>
      </c>
      <c r="G33" s="903"/>
      <c r="H33" s="903"/>
      <c r="I33" s="903"/>
    </row>
    <row r="34" spans="1:9">
      <c r="A34" s="799"/>
      <c r="B34" s="799"/>
      <c r="C34" s="799"/>
      <c r="D34" s="799"/>
      <c r="E34" s="140"/>
      <c r="F34" s="140"/>
      <c r="G34" s="910" t="s">
        <v>1091</v>
      </c>
      <c r="H34" s="910"/>
      <c r="I34" s="910"/>
    </row>
    <row r="35" spans="1:9">
      <c r="A35" s="904" t="s">
        <v>380</v>
      </c>
      <c r="B35" s="905"/>
      <c r="C35" s="905"/>
      <c r="D35" s="905"/>
      <c r="E35" s="905"/>
      <c r="F35" s="905"/>
      <c r="G35" s="905"/>
      <c r="H35" s="905"/>
      <c r="I35" s="906"/>
    </row>
    <row r="36" spans="1:9" ht="22.15" customHeight="1">
      <c r="A36" s="907" t="s">
        <v>383</v>
      </c>
      <c r="B36" s="908"/>
      <c r="C36" s="908"/>
      <c r="D36" s="908"/>
      <c r="E36" s="908"/>
      <c r="F36" s="908"/>
      <c r="G36" s="369" t="s">
        <v>382</v>
      </c>
      <c r="H36" s="909" t="str">
        <f>H5</f>
        <v>CSC-Q0-2022</v>
      </c>
      <c r="I36" s="909"/>
    </row>
    <row r="37" spans="1:9" ht="21.4" customHeight="1">
      <c r="A37" s="900" t="s">
        <v>436</v>
      </c>
      <c r="B37" s="901"/>
      <c r="C37" s="901"/>
      <c r="D37" s="901"/>
      <c r="E37" s="901"/>
      <c r="F37" s="902"/>
      <c r="G37" s="352" t="s">
        <v>43</v>
      </c>
      <c r="H37" s="189" t="str">
        <f t="shared" ref="H37" si="6">IF(G37="No","Comment","Done")</f>
        <v>Done</v>
      </c>
      <c r="I37" s="347"/>
    </row>
    <row r="38" spans="1:9">
      <c r="A38" s="900" t="s">
        <v>437</v>
      </c>
      <c r="B38" s="901"/>
      <c r="C38" s="901"/>
      <c r="D38" s="901"/>
      <c r="E38" s="901"/>
      <c r="F38" s="902"/>
      <c r="G38" s="352" t="s">
        <v>21</v>
      </c>
      <c r="H38" s="189" t="str">
        <f>IF(G38="No","Done","Comment")</f>
        <v>Done</v>
      </c>
      <c r="I38" s="347"/>
    </row>
    <row r="39" spans="1:9" ht="28.5" customHeight="1">
      <c r="A39" s="936"/>
      <c r="B39" s="937"/>
      <c r="C39" s="937"/>
      <c r="D39" s="937"/>
      <c r="E39" s="937"/>
      <c r="F39" s="937"/>
      <c r="G39" s="937"/>
      <c r="H39" s="937"/>
      <c r="I39" s="938"/>
    </row>
    <row r="40" spans="1:9">
      <c r="A40" s="933" t="s">
        <v>438</v>
      </c>
      <c r="B40" s="933"/>
      <c r="C40" s="934" t="s">
        <v>510</v>
      </c>
      <c r="D40" s="935"/>
      <c r="E40" s="935"/>
      <c r="F40" s="348" t="s">
        <v>70</v>
      </c>
      <c r="G40" s="939"/>
      <c r="H40" s="940"/>
      <c r="I40" s="941"/>
    </row>
    <row r="41" spans="1:9">
      <c r="A41" s="947" t="s">
        <v>440</v>
      </c>
      <c r="B41" s="929"/>
      <c r="C41" s="952"/>
      <c r="D41" s="953"/>
      <c r="E41" s="953"/>
      <c r="F41" s="953"/>
      <c r="G41" s="953"/>
      <c r="H41" s="953"/>
      <c r="I41" s="954"/>
    </row>
    <row r="42" spans="1:9">
      <c r="A42" s="948"/>
      <c r="B42" s="949"/>
      <c r="C42" s="955"/>
      <c r="D42" s="956"/>
      <c r="E42" s="956"/>
      <c r="F42" s="956"/>
      <c r="G42" s="956"/>
      <c r="H42" s="956"/>
      <c r="I42" s="957"/>
    </row>
    <row r="43" spans="1:9">
      <c r="A43" s="950"/>
      <c r="B43" s="951"/>
      <c r="C43" s="958"/>
      <c r="D43" s="959"/>
      <c r="E43" s="959"/>
      <c r="F43" s="959"/>
      <c r="G43" s="959"/>
      <c r="H43" s="959"/>
      <c r="I43" s="960"/>
    </row>
    <row r="44" spans="1:9">
      <c r="A44" s="370">
        <f>VLOOKUP(C40,Sheet2!Q21:R29,2,FALSE)</f>
        <v>3</v>
      </c>
      <c r="G44" s="835"/>
      <c r="H44" s="835"/>
      <c r="I44" s="961"/>
    </row>
    <row r="45" spans="1:9">
      <c r="A45" s="904" t="s">
        <v>441</v>
      </c>
      <c r="B45" s="905"/>
      <c r="C45" s="905"/>
      <c r="D45" s="905"/>
      <c r="E45" s="905"/>
      <c r="F45" s="905"/>
      <c r="G45" s="905"/>
      <c r="H45" s="905"/>
      <c r="I45" s="906"/>
    </row>
    <row r="46" spans="1:9" ht="14.25" customHeight="1">
      <c r="A46" s="933" t="s">
        <v>442</v>
      </c>
      <c r="B46" s="933"/>
      <c r="C46" s="846" t="s">
        <v>443</v>
      </c>
      <c r="D46" s="847"/>
      <c r="E46" s="848"/>
      <c r="F46" s="348" t="s">
        <v>70</v>
      </c>
      <c r="G46" s="942"/>
      <c r="H46" s="943"/>
      <c r="I46" s="165" t="s">
        <v>444</v>
      </c>
    </row>
    <row r="47" spans="1:9" ht="14.25" customHeight="1" thickBot="1">
      <c r="A47" s="928" t="s">
        <v>445</v>
      </c>
      <c r="B47" s="929"/>
      <c r="C47" s="930" t="s">
        <v>446</v>
      </c>
      <c r="D47" s="931"/>
      <c r="E47" s="932"/>
      <c r="F47" s="348" t="s">
        <v>51</v>
      </c>
      <c r="G47" s="944">
        <f>IF(C47="Certified",G46+365,IF(C47="Suspended",G46+180,IF(C47="Withdrawn",G46,N/A)))</f>
        <v>365</v>
      </c>
      <c r="H47" s="945"/>
      <c r="I47" s="946"/>
    </row>
    <row r="48" spans="1:9" ht="19.899999999999999" customHeight="1" thickTop="1">
      <c r="A48" s="894" t="s">
        <v>447</v>
      </c>
      <c r="B48" s="895"/>
      <c r="C48" s="895"/>
      <c r="D48" s="895"/>
      <c r="E48" s="896"/>
      <c r="F48" s="371" t="s">
        <v>70</v>
      </c>
      <c r="G48" s="944">
        <f>G46</f>
        <v>0</v>
      </c>
      <c r="H48" s="945"/>
      <c r="I48" s="946"/>
    </row>
    <row r="49" spans="1:9" ht="22.15" customHeight="1">
      <c r="A49" s="372" t="str">
        <f>'2-Calc. Sheet'!L27</f>
        <v>QMS</v>
      </c>
      <c r="B49" s="373" t="str">
        <f>'2-Calc. Sheet'!M27</f>
        <v>2015</v>
      </c>
      <c r="C49" s="897"/>
      <c r="D49" s="898"/>
      <c r="E49" s="899"/>
      <c r="F49" s="371" t="s">
        <v>449</v>
      </c>
      <c r="G49" s="942"/>
      <c r="H49" s="943"/>
      <c r="I49" s="965"/>
    </row>
    <row r="50" spans="1:9" ht="22.15" customHeight="1">
      <c r="A50" s="372" t="str">
        <f>'2-Calc. Sheet'!L28</f>
        <v>N/A</v>
      </c>
      <c r="B50" s="373" t="str">
        <f>'2-Calc. Sheet'!M28</f>
        <v>N/A</v>
      </c>
      <c r="C50" s="897"/>
      <c r="D50" s="898"/>
      <c r="E50" s="899"/>
      <c r="F50" s="966" t="s">
        <v>374</v>
      </c>
      <c r="G50" s="966"/>
      <c r="H50" s="966"/>
      <c r="I50" s="966"/>
    </row>
    <row r="51" spans="1:9" ht="22.15" customHeight="1">
      <c r="A51" s="372" t="str">
        <f>'2-Calc. Sheet'!L29</f>
        <v>N/A</v>
      </c>
      <c r="B51" s="373" t="str">
        <f>'2-Calc. Sheet'!M29</f>
        <v>N/A</v>
      </c>
      <c r="C51" s="897"/>
      <c r="D51" s="898"/>
      <c r="E51" s="899"/>
      <c r="F51" s="967"/>
      <c r="G51" s="967"/>
      <c r="H51" s="967"/>
      <c r="I51" s="967"/>
    </row>
    <row r="52" spans="1:9" ht="22.15" customHeight="1">
      <c r="A52" s="372" t="str">
        <f>'2-Calc. Sheet'!L30</f>
        <v>N/A</v>
      </c>
      <c r="B52" s="373" t="str">
        <f>'2-Calc. Sheet'!M30</f>
        <v>N/A</v>
      </c>
      <c r="C52" s="897"/>
      <c r="D52" s="898"/>
      <c r="E52" s="899"/>
      <c r="F52" s="968"/>
      <c r="G52" s="968"/>
      <c r="H52" s="968"/>
      <c r="I52" s="968"/>
    </row>
    <row r="53" spans="1:9" ht="22.15" customHeight="1">
      <c r="A53" s="372" t="str">
        <f>'2-Calc. Sheet'!L31</f>
        <v>N/A</v>
      </c>
      <c r="B53" s="373" t="str">
        <f>'2-Calc. Sheet'!M31</f>
        <v>N/A</v>
      </c>
      <c r="C53" s="897"/>
      <c r="D53" s="898"/>
      <c r="E53" s="899"/>
      <c r="F53" s="374"/>
      <c r="G53" s="374"/>
      <c r="H53" s="374"/>
      <c r="I53" s="374"/>
    </row>
    <row r="54" spans="1:9" ht="22.15" customHeight="1" thickBot="1">
      <c r="A54" s="375" t="str">
        <f>'2-Calc. Sheet'!L32</f>
        <v>N/A</v>
      </c>
      <c r="B54" s="376" t="str">
        <f>'2-Calc. Sheet'!M32</f>
        <v>N/A</v>
      </c>
      <c r="C54" s="962"/>
      <c r="D54" s="963"/>
      <c r="E54" s="964"/>
      <c r="F54" s="374"/>
      <c r="G54" s="374"/>
      <c r="H54" s="374"/>
      <c r="I54" s="374"/>
    </row>
    <row r="55" spans="1:9" ht="14.25" customHeight="1" thickTop="1">
      <c r="A55" s="823" t="s">
        <v>450</v>
      </c>
      <c r="B55" s="823"/>
      <c r="C55" s="823"/>
    </row>
    <row r="56" spans="1:9">
      <c r="A56" s="824"/>
      <c r="B56" s="824"/>
      <c r="C56" s="824"/>
    </row>
  </sheetData>
  <sheetProtection algorithmName="SHA-512" hashValue="DrHiHGxo6xxZ6mBnyUaDr/Z23DKEtqstvsZcnTfpIQejeAainosvCvR8k9TjsMkBOaQAYxIDgWv5sNz/3s1Ucw==" saltValue="WfSkdd/8ieXmmW4EvAFLHg==" spinCount="100000" sheet="1" formatCells="0" formatColumns="0" formatRows="0"/>
  <dataConsolidate function="product"/>
  <mergeCells count="128">
    <mergeCell ref="Q29:Q30"/>
    <mergeCell ref="R29:R30"/>
    <mergeCell ref="R5:S5"/>
    <mergeCell ref="J5:P5"/>
    <mergeCell ref="J6:K6"/>
    <mergeCell ref="L6:O6"/>
    <mergeCell ref="Q6:R6"/>
    <mergeCell ref="A9:B9"/>
    <mergeCell ref="C9:F9"/>
    <mergeCell ref="A5:F5"/>
    <mergeCell ref="H5:I5"/>
    <mergeCell ref="A6:B6"/>
    <mergeCell ref="C6:F6"/>
    <mergeCell ref="C8:F8"/>
    <mergeCell ref="H6:I6"/>
    <mergeCell ref="A17:B17"/>
    <mergeCell ref="C17:D17"/>
    <mergeCell ref="H17:I17"/>
    <mergeCell ref="C10:E10"/>
    <mergeCell ref="A14:I14"/>
    <mergeCell ref="C16:D16"/>
    <mergeCell ref="H15:I15"/>
    <mergeCell ref="H16:I16"/>
    <mergeCell ref="C15:D15"/>
    <mergeCell ref="J1:M3"/>
    <mergeCell ref="R1:S1"/>
    <mergeCell ref="G3:I3"/>
    <mergeCell ref="Q3:S3"/>
    <mergeCell ref="F2:I2"/>
    <mergeCell ref="P2:S2"/>
    <mergeCell ref="A4:I4"/>
    <mergeCell ref="A1:D3"/>
    <mergeCell ref="H1:I1"/>
    <mergeCell ref="J4:R4"/>
    <mergeCell ref="A12:B12"/>
    <mergeCell ref="A10:B10"/>
    <mergeCell ref="A11:B11"/>
    <mergeCell ref="C11:F11"/>
    <mergeCell ref="C13:F13"/>
    <mergeCell ref="L7:N7"/>
    <mergeCell ref="P7:Q7"/>
    <mergeCell ref="P8:Q8"/>
    <mergeCell ref="P9:Q9"/>
    <mergeCell ref="L9:N9"/>
    <mergeCell ref="J13:O13"/>
    <mergeCell ref="J7:K7"/>
    <mergeCell ref="J8:K8"/>
    <mergeCell ref="L8:N8"/>
    <mergeCell ref="J11:O11"/>
    <mergeCell ref="J12:O12"/>
    <mergeCell ref="J9:K9"/>
    <mergeCell ref="J10:O10"/>
    <mergeCell ref="A7:B7"/>
    <mergeCell ref="C7:F7"/>
    <mergeCell ref="A8:B8"/>
    <mergeCell ref="A13:B13"/>
    <mergeCell ref="Q14:Q15"/>
    <mergeCell ref="R14:R15"/>
    <mergeCell ref="J20:O21"/>
    <mergeCell ref="P20:P21"/>
    <mergeCell ref="J19:O19"/>
    <mergeCell ref="Q20:Q21"/>
    <mergeCell ref="R20:R21"/>
    <mergeCell ref="A18:F18"/>
    <mergeCell ref="A19:F19"/>
    <mergeCell ref="A20:F20"/>
    <mergeCell ref="A21:F21"/>
    <mergeCell ref="P14:P15"/>
    <mergeCell ref="J18:O18"/>
    <mergeCell ref="J16:O16"/>
    <mergeCell ref="J14:O15"/>
    <mergeCell ref="A15:B15"/>
    <mergeCell ref="A16:B16"/>
    <mergeCell ref="A55:C56"/>
    <mergeCell ref="A47:B47"/>
    <mergeCell ref="C47:E47"/>
    <mergeCell ref="A46:B46"/>
    <mergeCell ref="A38:F38"/>
    <mergeCell ref="C40:E40"/>
    <mergeCell ref="A39:I39"/>
    <mergeCell ref="G40:I40"/>
    <mergeCell ref="G46:H46"/>
    <mergeCell ref="G47:I47"/>
    <mergeCell ref="A41:B43"/>
    <mergeCell ref="C41:I43"/>
    <mergeCell ref="A45:I45"/>
    <mergeCell ref="C46:E46"/>
    <mergeCell ref="G44:I44"/>
    <mergeCell ref="G48:I48"/>
    <mergeCell ref="A40:B40"/>
    <mergeCell ref="C53:E53"/>
    <mergeCell ref="C54:E54"/>
    <mergeCell ref="C50:E50"/>
    <mergeCell ref="C49:E49"/>
    <mergeCell ref="G49:I49"/>
    <mergeCell ref="F50:I52"/>
    <mergeCell ref="C52:E52"/>
    <mergeCell ref="A23:F23"/>
    <mergeCell ref="J17:O17"/>
    <mergeCell ref="P29:P30"/>
    <mergeCell ref="J24:O24"/>
    <mergeCell ref="A28:F28"/>
    <mergeCell ref="A29:F29"/>
    <mergeCell ref="J27:O27"/>
    <mergeCell ref="A24:F24"/>
    <mergeCell ref="J28:O28"/>
    <mergeCell ref="J29:O30"/>
    <mergeCell ref="J22:O22"/>
    <mergeCell ref="J25:O25"/>
    <mergeCell ref="A30:B30"/>
    <mergeCell ref="C30:F30"/>
    <mergeCell ref="H30:I30"/>
    <mergeCell ref="A22:F22"/>
    <mergeCell ref="A25:F25"/>
    <mergeCell ref="A26:F26"/>
    <mergeCell ref="J23:O23"/>
    <mergeCell ref="J26:O26"/>
    <mergeCell ref="A27:F27"/>
    <mergeCell ref="A48:E48"/>
    <mergeCell ref="C51:E51"/>
    <mergeCell ref="A37:F37"/>
    <mergeCell ref="F33:I33"/>
    <mergeCell ref="A35:I35"/>
    <mergeCell ref="A36:F36"/>
    <mergeCell ref="H36:I36"/>
    <mergeCell ref="A32:D34"/>
    <mergeCell ref="G34:I34"/>
    <mergeCell ref="H32:I32"/>
  </mergeCells>
  <conditionalFormatting sqref="A48">
    <cfRule type="expression" dxfId="22" priority="20">
      <formula>OR($A$44=4,$A$44=5,C9="Special visit (Scope Ext.)")</formula>
    </cfRule>
  </conditionalFormatting>
  <conditionalFormatting sqref="A49:A54">
    <cfRule type="expression" dxfId="21" priority="1">
      <formula>OR($A$44=4,$A$44=5,C7="Special visit (Scope Ext.)")</formula>
    </cfRule>
  </conditionalFormatting>
  <conditionalFormatting sqref="A45:I47 F48:I48">
    <cfRule type="expression" dxfId="20" priority="31">
      <formula>OR($A$44=4,$A$44=5,C6="Special visit (Scope Ext.)")</formula>
    </cfRule>
  </conditionalFormatting>
  <conditionalFormatting sqref="C49:C54">
    <cfRule type="expression" dxfId="19" priority="3">
      <formula>OR($A$44=4,$A$44=5,E7="Special visit (Scope Ext.)")</formula>
    </cfRule>
  </conditionalFormatting>
  <conditionalFormatting sqref="E15:E16">
    <cfRule type="containsBlanks" dxfId="18" priority="37">
      <formula>LEN(TRIM(E15))=0</formula>
    </cfRule>
  </conditionalFormatting>
  <conditionalFormatting sqref="F50">
    <cfRule type="expression" dxfId="17" priority="9">
      <formula>OR($A$44=4,$A$44=5,H8="Special visit (Scope Ext.)")</formula>
    </cfRule>
  </conditionalFormatting>
  <conditionalFormatting sqref="F49:I49">
    <cfRule type="expression" dxfId="16" priority="10">
      <formula>OR($A$44=4,$A$44=5,H7="Special visit (Scope Ext.)")</formula>
    </cfRule>
  </conditionalFormatting>
  <conditionalFormatting sqref="G40">
    <cfRule type="containsText" dxfId="15" priority="39" operator="containsText" text="Done">
      <formula>NOT(ISERROR(SEARCH("Done",G40)))</formula>
    </cfRule>
    <cfRule type="containsText" dxfId="14" priority="40" operator="containsText" text="Should escalating to the certification manager.">
      <formula>NOT(ISERROR(SEARCH("Should escalating to the certification manager.",G40)))</formula>
    </cfRule>
  </conditionalFormatting>
  <conditionalFormatting sqref="G46:G49">
    <cfRule type="containsText" dxfId="13" priority="11" operator="containsText" text="Done">
      <formula>NOT(ISERROR(SEARCH("Done",G46)))</formula>
    </cfRule>
    <cfRule type="containsText" dxfId="12" priority="12" operator="containsText" text="Should escalating to the certification manager.">
      <formula>NOT(ISERROR(SEARCH("Should escalating to the certification manager.",G46)))</formula>
    </cfRule>
  </conditionalFormatting>
  <conditionalFormatting sqref="H7:I13">
    <cfRule type="containsText" dxfId="11" priority="27" operator="containsText" text="Done">
      <formula>NOT(ISERROR(SEARCH("Done",H7)))</formula>
    </cfRule>
    <cfRule type="containsText" dxfId="10" priority="28" operator="containsText" text="Comment">
      <formula>NOT(ISERROR(SEARCH("Comment",H7)))</formula>
    </cfRule>
  </conditionalFormatting>
  <conditionalFormatting sqref="H18:I29">
    <cfRule type="containsText" dxfId="9" priority="25" operator="containsText" text="Done">
      <formula>NOT(ISERROR(SEARCH("Done",H18)))</formula>
    </cfRule>
    <cfRule type="containsText" dxfId="8" priority="26" operator="containsText" text="Comment">
      <formula>NOT(ISERROR(SEARCH("Comment",H18)))</formula>
    </cfRule>
  </conditionalFormatting>
  <conditionalFormatting sqref="H37:I38">
    <cfRule type="containsText" dxfId="7" priority="21" operator="containsText" text="Done">
      <formula>NOT(ISERROR(SEARCH("Done",H37)))</formula>
    </cfRule>
    <cfRule type="containsText" dxfId="6" priority="22" operator="containsText" text="Comment">
      <formula>NOT(ISERROR(SEARCH("Comment",H37)))</formula>
    </cfRule>
  </conditionalFormatting>
  <conditionalFormatting sqref="P7:P9">
    <cfRule type="containsText" dxfId="5" priority="83" operator="containsText" text="Done">
      <formula>NOT(ISERROR(SEARCH("Done",P7)))</formula>
    </cfRule>
    <cfRule type="containsText" dxfId="4" priority="84" operator="containsText" text="Should escalating to the certification manager.">
      <formula>NOT(ISERROR(SEARCH("Should escalating to the certification manager.",P7)))</formula>
    </cfRule>
  </conditionalFormatting>
  <conditionalFormatting sqref="Q10:R13 Q11:Q14 Q16:R16 R17 Q17:Q20 R19 Q22:R24 R25 Q25:Q29 Q26:R28">
    <cfRule type="containsText" dxfId="3" priority="73" operator="containsText" text="Done">
      <formula>NOT(ISERROR(SEARCH("Done",Q10)))</formula>
    </cfRule>
    <cfRule type="containsText" dxfId="2" priority="74" operator="containsText" text="Comment">
      <formula>NOT(ISERROR(SEARCH("Comment",Q10)))</formula>
    </cfRule>
  </conditionalFormatting>
  <conditionalFormatting sqref="R7:R9">
    <cfRule type="containsText" dxfId="1" priority="43" operator="containsText" text="Done">
      <formula>NOT(ISERROR(SEARCH("Done",R7)))</formula>
    </cfRule>
    <cfRule type="containsText" dxfId="0" priority="44" operator="containsText" text="Should escalating to the certification manager.">
      <formula>NOT(ISERROR(SEARCH("Should escalating to the certification manager.",R7)))</formula>
    </cfRule>
  </conditionalFormatting>
  <dataValidations count="9">
    <dataValidation allowBlank="1" showErrorMessage="1" sqref="C9" xr:uid="{00000000-0002-0000-0900-000000000000}"/>
    <dataValidation type="list" allowBlank="1" showInputMessage="1" showErrorMessage="1" sqref="G7:G13 P19 P16:P17 G18:G20 G28:G29 P14 G37:G38 P10:P12 G23:G26 P27:P28" xr:uid="{00000000-0002-0000-0900-000001000000}">
      <formula1>"Yes, No"</formula1>
    </dataValidation>
    <dataValidation type="list" allowBlank="1" showInputMessage="1" showErrorMessage="1" sqref="C46:E46" xr:uid="{00000000-0002-0000-0900-000002000000}">
      <formula1>"Ashraf Fathy Mahrous"</formula1>
    </dataValidation>
    <dataValidation type="list" errorStyle="information" allowBlank="1" showInputMessage="1" showErrorMessage="1" sqref="C47" xr:uid="{00000000-0002-0000-0900-000003000000}">
      <formula1>"Certified, Suspended, Withdrawn, ….."</formula1>
    </dataValidation>
    <dataValidation type="list" allowBlank="1" showInputMessage="1" showErrorMessage="1" sqref="P13 P20:P21 G21:G22 G27 P29:P30 P18 P23:P26" xr:uid="{00000000-0002-0000-0900-000004000000}">
      <formula1>"Yes, No, NA"</formula1>
    </dataValidation>
    <dataValidation type="list" allowBlank="1" showInputMessage="1" showErrorMessage="1" sqref="A55:C56" xr:uid="{00000000-0002-0000-0900-000005000000}">
      <formula1>"Create ATJIF-SUR-01"</formula1>
    </dataValidation>
    <dataValidation allowBlank="1" showDropDown="1" showInputMessage="1" showErrorMessage="1" errorTitle="Wrong code" error="Review plz!" sqref="H17" xr:uid="{00000000-0002-0000-0900-000006000000}"/>
    <dataValidation type="date" errorStyle="warning" showInputMessage="1" showErrorMessage="1" errorTitle="Be attention!" error="+2 days, it's out of procedures" promptTitle="Tip!" prompt="2 days range!" sqref="G46:H46" xr:uid="{00000000-0002-0000-0900-000007000000}">
      <formula1>G40</formula1>
      <formula2>G40+2</formula2>
    </dataValidation>
    <dataValidation type="list" showInputMessage="1" sqref="C30:F30" xr:uid="{00000000-0002-0000-0900-000008000000}">
      <formula1>"Monika Barkat, Martishia Baky "</formula1>
    </dataValidation>
  </dataValidations>
  <hyperlinks>
    <hyperlink ref="A55:C56" location="CERTIFICATE!A1" display="Create CERTIFICATE" xr:uid="{00000000-0004-0000-0900-000000000000}"/>
  </hyperlinks>
  <pageMargins left="0.7" right="0.7" top="0.75" bottom="0.75" header="0.3" footer="0.3"/>
  <pageSetup pageOrder="overThenDown"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900-000009000000}">
          <x14:formula1>
            <xm:f>Sheet2!$Q$21:$Q$29</xm:f>
          </x14:formula1>
          <xm:sqref>C40:E40</xm:sqref>
        </x14:dataValidation>
        <x14:dataValidation type="list" showInputMessage="1" showErrorMessage="1" errorTitle="Error" error="Plz use the Drop-Down List" xr:uid="{00000000-0002-0000-0900-00000A000000}">
          <x14:formula1>
            <xm:f>Sheet2!$R$37:$R$41</xm:f>
          </x14:formula1>
          <xm:sqref>L6:O6</xm:sqref>
        </x14:dataValidation>
        <x14:dataValidation type="list" showInputMessage="1" showErrorMessage="1" errorTitle="Error" error="Plz use the Drop-Down List" xr:uid="{00000000-0002-0000-0900-00000B000000}">
          <x14:formula1>
            <xm:f>Sheet2!$L$45:$L$51</xm:f>
          </x14:formula1>
          <xm:sqref>C6:F6</xm:sqref>
        </x14:dataValidation>
        <x14:dataValidation type="list" allowBlank="1" showInputMessage="1" showErrorMessage="1" xr:uid="{00000000-0002-0000-0900-00000C000000}">
          <x14:formula1>
            <xm:f>Auditors!$B$2:$B$16</xm:f>
          </x14:formula1>
          <xm:sqref>L7:N9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dimension ref="A7:I42"/>
  <sheetViews>
    <sheetView topLeftCell="A13" workbookViewId="0">
      <selection activeCell="C25" sqref="C25:G27"/>
    </sheetView>
  </sheetViews>
  <sheetFormatPr defaultColWidth="9" defaultRowHeight="15"/>
  <cols>
    <col min="1" max="1" width="10.85546875" style="141" customWidth="1"/>
    <col min="2" max="2" width="8.42578125" style="141" customWidth="1"/>
    <col min="3" max="3" width="10.42578125" style="141" customWidth="1"/>
    <col min="4" max="4" width="9" style="141" customWidth="1"/>
    <col min="5" max="5" width="6.85546875" style="141" customWidth="1"/>
    <col min="6" max="6" width="12" style="141" customWidth="1"/>
    <col min="7" max="7" width="7.85546875" style="141" customWidth="1"/>
    <col min="8" max="8" width="7.42578125" style="141" customWidth="1"/>
    <col min="9" max="9" width="12.42578125" style="141" customWidth="1"/>
    <col min="10" max="16384" width="9" style="141"/>
  </cols>
  <sheetData>
    <row r="7" spans="2:8" ht="40.9" customHeight="1"/>
    <row r="9" spans="2:8">
      <c r="D9" s="1007"/>
      <c r="E9" s="1007"/>
      <c r="F9" s="1007"/>
    </row>
    <row r="10" spans="2:8">
      <c r="D10" s="1007"/>
      <c r="E10" s="1007"/>
      <c r="F10" s="1007"/>
    </row>
    <row r="11" spans="2:8">
      <c r="C11" s="164"/>
      <c r="D11" s="1007"/>
      <c r="E11" s="1007"/>
      <c r="F11" s="1007"/>
      <c r="G11" s="164"/>
    </row>
    <row r="12" spans="2:8">
      <c r="C12" s="164"/>
      <c r="D12" s="1007"/>
      <c r="E12" s="1007"/>
      <c r="F12" s="1007"/>
      <c r="G12" s="164"/>
    </row>
    <row r="13" spans="2:8">
      <c r="C13" s="164"/>
      <c r="D13" s="1007"/>
      <c r="E13" s="1007"/>
      <c r="F13" s="1007"/>
      <c r="G13" s="164"/>
    </row>
    <row r="14" spans="2:8" ht="14.25" customHeight="1">
      <c r="B14" s="1011">
        <f>'CRMR-INT'!C7</f>
        <v>0</v>
      </c>
      <c r="C14" s="1011"/>
      <c r="D14" s="1011"/>
      <c r="E14" s="1011"/>
      <c r="F14" s="1011"/>
      <c r="G14" s="1011"/>
      <c r="H14" s="1011"/>
    </row>
    <row r="15" spans="2:8" ht="14.25" customHeight="1">
      <c r="B15" s="1011"/>
      <c r="C15" s="1011"/>
      <c r="D15" s="1011"/>
      <c r="E15" s="1011"/>
      <c r="F15" s="1011"/>
      <c r="G15" s="1011"/>
      <c r="H15" s="1011"/>
    </row>
    <row r="16" spans="2:8" ht="14.25" customHeight="1">
      <c r="B16" s="1011"/>
      <c r="C16" s="1011"/>
      <c r="D16" s="1011"/>
      <c r="E16" s="1011"/>
      <c r="F16" s="1011"/>
      <c r="G16" s="1011"/>
      <c r="H16" s="1011"/>
    </row>
    <row r="17" spans="1:9">
      <c r="B17" s="1014" t="str">
        <f>'CRMR-INT'!C8</f>
        <v xml:space="preserve"> - Egypt</v>
      </c>
      <c r="C17" s="1014"/>
      <c r="D17" s="1014"/>
      <c r="E17" s="1014"/>
      <c r="F17" s="1014"/>
      <c r="G17" s="1014"/>
      <c r="H17" s="1014"/>
    </row>
    <row r="18" spans="1:9">
      <c r="B18" s="1014"/>
      <c r="C18" s="1014"/>
      <c r="D18" s="1014"/>
      <c r="E18" s="1014"/>
      <c r="F18" s="1014"/>
      <c r="G18" s="1014"/>
      <c r="H18" s="1014"/>
    </row>
    <row r="19" spans="1:9">
      <c r="B19" s="1006"/>
      <c r="C19" s="1006"/>
      <c r="D19" s="1006"/>
      <c r="E19" s="1006"/>
      <c r="F19" s="1006"/>
      <c r="G19" s="1006"/>
      <c r="H19" s="1006"/>
    </row>
    <row r="20" spans="1:9">
      <c r="B20" s="1006"/>
      <c r="C20" s="1006"/>
      <c r="D20" s="1006"/>
      <c r="E20" s="1006"/>
      <c r="F20" s="1006"/>
      <c r="G20" s="1006"/>
      <c r="H20" s="1006"/>
    </row>
    <row r="21" spans="1:9" ht="14.25" customHeight="1">
      <c r="A21" s="1008" t="s">
        <v>451</v>
      </c>
      <c r="B21" s="1008"/>
      <c r="C21" s="1008"/>
      <c r="D21" s="1008"/>
      <c r="E21" s="1008"/>
      <c r="F21" s="1008"/>
      <c r="G21" s="1008"/>
      <c r="H21" s="1008"/>
      <c r="I21" s="1008"/>
    </row>
    <row r="22" spans="1:9">
      <c r="A22" s="1008"/>
      <c r="B22" s="1008"/>
      <c r="C22" s="1008"/>
      <c r="D22" s="1008"/>
      <c r="E22" s="1008"/>
      <c r="F22" s="1008"/>
      <c r="G22" s="1008"/>
      <c r="H22" s="1008"/>
      <c r="I22" s="1008"/>
    </row>
    <row r="23" spans="1:9" ht="14.25" customHeight="1">
      <c r="A23" s="1012" t="s">
        <v>452</v>
      </c>
      <c r="B23" s="1012"/>
      <c r="C23" s="1013" t="str">
        <f>VLOOKUP(C25,Sheet2!Q43:R50,2,)</f>
        <v>ISO 22000:2018 "Food Safety Management System"</v>
      </c>
      <c r="D23" s="1013"/>
      <c r="E23" s="1013"/>
      <c r="F23" s="1013"/>
      <c r="G23" s="1013"/>
      <c r="H23" s="1013"/>
      <c r="I23" s="1013"/>
    </row>
    <row r="24" spans="1:9" ht="14.25" customHeight="1">
      <c r="A24" s="830"/>
      <c r="B24" s="830"/>
      <c r="C24" s="830"/>
      <c r="D24" s="830"/>
      <c r="E24" s="1008"/>
      <c r="F24" s="1008"/>
      <c r="G24" s="281"/>
      <c r="H24" s="281"/>
      <c r="I24" s="281"/>
    </row>
    <row r="25" spans="1:9">
      <c r="C25" s="1015" t="s">
        <v>715</v>
      </c>
      <c r="D25" s="1015"/>
      <c r="E25" s="1015"/>
      <c r="F25" s="1015"/>
      <c r="G25" s="1015"/>
    </row>
    <row r="26" spans="1:9">
      <c r="C26" s="1015"/>
      <c r="D26" s="1015"/>
      <c r="E26" s="1015"/>
      <c r="F26" s="1015"/>
      <c r="G26" s="1015"/>
    </row>
    <row r="27" spans="1:9">
      <c r="C27" s="1015"/>
      <c r="D27" s="1015"/>
      <c r="E27" s="1015"/>
      <c r="F27" s="1015"/>
      <c r="G27" s="1015"/>
    </row>
    <row r="28" spans="1:9">
      <c r="B28" s="1016">
        <f>'CRMR-INT'!C11</f>
        <v>0</v>
      </c>
      <c r="C28" s="1016"/>
      <c r="D28" s="1016"/>
      <c r="E28" s="1016"/>
      <c r="F28" s="1016"/>
      <c r="G28" s="1016"/>
      <c r="H28" s="1016"/>
    </row>
    <row r="29" spans="1:9">
      <c r="B29" s="1016"/>
      <c r="C29" s="1016"/>
      <c r="D29" s="1016"/>
      <c r="E29" s="1016"/>
      <c r="F29" s="1016"/>
      <c r="G29" s="1016"/>
      <c r="H29" s="1016"/>
    </row>
    <row r="30" spans="1:9">
      <c r="B30" s="1016"/>
      <c r="C30" s="1016"/>
      <c r="D30" s="1016"/>
      <c r="E30" s="1016"/>
      <c r="F30" s="1016"/>
      <c r="G30" s="1016"/>
      <c r="H30" s="1016"/>
    </row>
    <row r="31" spans="1:9">
      <c r="B31" s="1016"/>
      <c r="C31" s="1016"/>
      <c r="D31" s="1016"/>
      <c r="E31" s="1016"/>
      <c r="F31" s="1016"/>
      <c r="G31" s="1016"/>
      <c r="H31" s="1016"/>
    </row>
    <row r="33" spans="1:9">
      <c r="B33" s="1007" t="s">
        <v>454</v>
      </c>
      <c r="C33" s="1007"/>
      <c r="D33" s="1007"/>
      <c r="E33" s="1007"/>
      <c r="F33" s="1007"/>
      <c r="G33" s="1007"/>
      <c r="H33" s="1007"/>
    </row>
    <row r="34" spans="1:9">
      <c r="B34" s="280"/>
      <c r="C34" s="280"/>
      <c r="D34" s="280"/>
      <c r="E34" s="280"/>
      <c r="F34" s="280"/>
      <c r="G34" s="280"/>
      <c r="H34" s="280"/>
    </row>
    <row r="35" spans="1:9">
      <c r="B35" s="280"/>
      <c r="D35" s="1006" t="str">
        <f>IF(OR(C25="ISO 22000:2005",C25="ISO 22000:2018"),"CAT. Code:",IF(OR(C25="ISO 50001:2018",C25="ISO 13485:2016"),"T.A Code:","EA Code:"))</f>
        <v>CAT. Code:</v>
      </c>
      <c r="E35" s="1006"/>
      <c r="F35" s="279"/>
      <c r="G35" s="280"/>
      <c r="H35" s="280"/>
    </row>
    <row r="36" spans="1:9">
      <c r="B36" s="280"/>
      <c r="C36" s="280"/>
      <c r="D36" s="280"/>
      <c r="E36" s="280"/>
      <c r="F36" s="280"/>
      <c r="G36" s="280"/>
      <c r="H36" s="280"/>
    </row>
    <row r="37" spans="1:9" ht="14.25" customHeight="1">
      <c r="A37" s="1018" t="s">
        <v>455</v>
      </c>
      <c r="B37" s="1018"/>
      <c r="C37" s="1019" t="s">
        <v>448</v>
      </c>
      <c r="D37" s="1019"/>
      <c r="E37"/>
      <c r="F37" s="1009" t="s">
        <v>456</v>
      </c>
      <c r="G37" s="1009"/>
      <c r="H37" s="1009"/>
      <c r="I37" s="1017">
        <f>'CRMR-INT'!G49+1095</f>
        <v>1095</v>
      </c>
    </row>
    <row r="38" spans="1:9">
      <c r="A38" s="1018"/>
      <c r="B38" s="1018"/>
      <c r="C38" s="1019"/>
      <c r="D38" s="1019"/>
      <c r="E38"/>
      <c r="F38" s="1009"/>
      <c r="G38" s="1009"/>
      <c r="H38" s="1009"/>
      <c r="I38" s="1017"/>
    </row>
    <row r="39" spans="1:9" ht="14.25" customHeight="1">
      <c r="A39" s="1020" t="s">
        <v>457</v>
      </c>
      <c r="B39" s="1020"/>
      <c r="C39" s="1017">
        <f>'CRMR-INT'!G49</f>
        <v>0</v>
      </c>
      <c r="D39" s="1017"/>
      <c r="E39"/>
      <c r="F39" s="1010" t="s">
        <v>458</v>
      </c>
      <c r="G39" s="1010"/>
      <c r="H39" s="1010"/>
      <c r="I39" s="1017">
        <f>'CRMR-INT'!G48</f>
        <v>0</v>
      </c>
    </row>
    <row r="40" spans="1:9">
      <c r="A40" s="1020"/>
      <c r="B40" s="1020"/>
      <c r="C40" s="1017"/>
      <c r="D40" s="1017"/>
      <c r="E40"/>
      <c r="F40" s="1010"/>
      <c r="G40" s="1010"/>
      <c r="H40" s="1010"/>
      <c r="I40" s="1017"/>
    </row>
    <row r="41" spans="1:9" ht="14.25" customHeight="1">
      <c r="A41"/>
      <c r="B41"/>
      <c r="C41" s="1009" t="s">
        <v>459</v>
      </c>
      <c r="D41" s="1009"/>
      <c r="E41" s="1009"/>
      <c r="F41" s="1017">
        <f>'CRMR-INT'!G47</f>
        <v>365</v>
      </c>
      <c r="G41" s="1017"/>
      <c r="H41"/>
      <c r="I41"/>
    </row>
    <row r="42" spans="1:9">
      <c r="A42"/>
      <c r="B42"/>
      <c r="C42" s="1009"/>
      <c r="D42" s="1009"/>
      <c r="E42" s="1009"/>
      <c r="F42" s="1017"/>
      <c r="G42" s="1017"/>
      <c r="H42"/>
      <c r="I42"/>
    </row>
  </sheetData>
  <sheetProtection algorithmName="SHA-512" hashValue="r7z/NlxVCCN4tPCF8SP6N3g7hFFqzadha3swNsrai46DTeaNbrDu/pulpF8b1/4yWIh7+JbwDCEk/msDRGdcCA==" saltValue="ZXB2JjOOmOeZHNWNaLFl0w==" spinCount="100000" sheet="1" formatCells="0" formatColumns="0" formatRows="0"/>
  <mergeCells count="23">
    <mergeCell ref="F41:G42"/>
    <mergeCell ref="I39:I40"/>
    <mergeCell ref="A37:B38"/>
    <mergeCell ref="C37:D38"/>
    <mergeCell ref="A39:B40"/>
    <mergeCell ref="C39:D40"/>
    <mergeCell ref="I37:I38"/>
    <mergeCell ref="C41:E42"/>
    <mergeCell ref="D35:E35"/>
    <mergeCell ref="D9:F13"/>
    <mergeCell ref="A21:I22"/>
    <mergeCell ref="F37:H38"/>
    <mergeCell ref="F39:H40"/>
    <mergeCell ref="B14:H16"/>
    <mergeCell ref="A23:B23"/>
    <mergeCell ref="C23:I23"/>
    <mergeCell ref="B33:H33"/>
    <mergeCell ref="A24:D24"/>
    <mergeCell ref="B17:H18"/>
    <mergeCell ref="B19:H20"/>
    <mergeCell ref="E24:F24"/>
    <mergeCell ref="C25:G27"/>
    <mergeCell ref="B28:H31"/>
  </mergeCells>
  <dataValidations count="2">
    <dataValidation allowBlank="1" showErrorMessage="1" errorTitle="Error" error="Not allowed for typing here" promptTitle="Tip!" prompt="For list of previous modifications, plz drop-down" sqref="B14:H16" xr:uid="{00000000-0002-0000-0A00-000000000000}"/>
    <dataValidation type="list" showInputMessage="1" sqref="F35" xr:uid="{00000000-0002-0000-0A00-000001000000}">
      <formula1>Codes</formula1>
    </dataValidation>
  </dataValidations>
  <pageMargins left="0.7" right="0.7" top="0.75" bottom="0.75" header="0.3" footer="0.3"/>
  <pageSetup orientation="portrait"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2000000}">
          <x14:formula1>
            <xm:f>Sheet2!$Q$43:$Q$50</xm:f>
          </x14:formula1>
          <xm:sqref>C25:G27</xm:sqref>
        </x14:dataValidation>
        <x14:dataValidation type="list" showInputMessage="1" showErrorMessage="1" xr:uid="{00000000-0002-0000-0A00-000003000000}">
          <x14:formula1>
            <xm:f>'CRMR-INT'!$C$49:$C$52</xm:f>
          </x14:formula1>
          <xm:sqref>C37:D38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AB228"/>
  <sheetViews>
    <sheetView topLeftCell="N47" workbookViewId="0">
      <selection activeCell="N47" sqref="A1:XFD1048576"/>
    </sheetView>
  </sheetViews>
  <sheetFormatPr defaultColWidth="9" defaultRowHeight="15"/>
  <cols>
    <col min="1" max="1" width="6.85546875" style="99" bestFit="1" customWidth="1"/>
    <col min="2" max="2" width="12.85546875" style="99" bestFit="1" customWidth="1"/>
    <col min="3" max="3" width="12.42578125" style="99" bestFit="1" customWidth="1"/>
    <col min="4" max="4" width="9.140625" style="99" bestFit="1" customWidth="1"/>
    <col min="5" max="5" width="10.140625" style="99" bestFit="1" customWidth="1"/>
    <col min="6" max="6" width="9.42578125" style="99" bestFit="1" customWidth="1"/>
    <col min="7" max="7" width="8.140625" style="99" bestFit="1" customWidth="1"/>
    <col min="8" max="8" width="9.140625" style="99" bestFit="1" customWidth="1"/>
    <col min="9" max="9" width="8.42578125" style="99" bestFit="1" customWidth="1"/>
    <col min="10" max="10" width="9" style="99"/>
    <col min="11" max="11" width="13.140625" style="99" customWidth="1"/>
    <col min="12" max="12" width="9" style="99"/>
    <col min="13" max="13" width="31.42578125" style="99" customWidth="1"/>
    <col min="14" max="20" width="9" style="99"/>
    <col min="21" max="21" width="10.140625" style="202" customWidth="1"/>
    <col min="22" max="16384" width="9" style="99"/>
  </cols>
  <sheetData>
    <row r="1" spans="1:28" ht="45">
      <c r="A1" s="99" t="s">
        <v>464</v>
      </c>
      <c r="B1" s="99" t="s">
        <v>465</v>
      </c>
      <c r="C1" s="99" t="s">
        <v>466</v>
      </c>
      <c r="D1" s="99" t="s">
        <v>467</v>
      </c>
      <c r="E1" s="99" t="s">
        <v>468</v>
      </c>
      <c r="F1" s="99" t="s">
        <v>469</v>
      </c>
      <c r="G1" s="99" t="s">
        <v>470</v>
      </c>
      <c r="H1" s="99" t="s">
        <v>471</v>
      </c>
      <c r="I1" s="99" t="s">
        <v>472</v>
      </c>
      <c r="K1" s="99" t="s">
        <v>473</v>
      </c>
      <c r="L1" s="99" t="s">
        <v>474</v>
      </c>
      <c r="M1" s="99" t="s">
        <v>475</v>
      </c>
      <c r="U1" s="198" t="s">
        <v>13</v>
      </c>
      <c r="V1" s="199" t="s">
        <v>476</v>
      </c>
      <c r="W1" s="199" t="s">
        <v>477</v>
      </c>
      <c r="X1" s="199" t="s">
        <v>478</v>
      </c>
      <c r="Y1" s="199" t="s">
        <v>479</v>
      </c>
      <c r="Z1" s="199" t="s">
        <v>480</v>
      </c>
      <c r="AA1" s="199" t="s">
        <v>481</v>
      </c>
      <c r="AB1" s="199" t="s">
        <v>482</v>
      </c>
    </row>
    <row r="2" spans="1:28" ht="30">
      <c r="A2" s="200" t="str">
        <f>IF('5-ATJIF-02'!G25&gt;=1,IF('5-ATJIF-02'!G25&lt;=5,'5-ATJIF-02'!G25," ")," ")</f>
        <v xml:space="preserve"> </v>
      </c>
      <c r="B2" s="201">
        <v>1.25</v>
      </c>
      <c r="C2" s="201">
        <v>2.5</v>
      </c>
      <c r="D2" s="201">
        <v>0</v>
      </c>
      <c r="E2" s="201">
        <v>0.25</v>
      </c>
      <c r="F2" s="201">
        <v>0.25</v>
      </c>
      <c r="G2" s="201">
        <v>0</v>
      </c>
      <c r="H2" s="201">
        <v>0</v>
      </c>
      <c r="I2" s="201">
        <v>0.5</v>
      </c>
      <c r="K2" s="201" t="str">
        <f>IF('5-ATJIF-02'!G25&gt;=1,IF('5-ATJIF-02'!G25&lt;=19,'5-ATJIF-02'!G25," ")," ")</f>
        <v xml:space="preserve"> </v>
      </c>
      <c r="L2" s="201">
        <v>1</v>
      </c>
      <c r="M2" s="201">
        <v>0</v>
      </c>
      <c r="U2" s="202" t="s">
        <v>483</v>
      </c>
      <c r="V2" s="99">
        <v>200</v>
      </c>
      <c r="W2" s="99">
        <v>100</v>
      </c>
      <c r="X2" s="99">
        <v>200</v>
      </c>
      <c r="Y2" s="99">
        <v>150</v>
      </c>
      <c r="Z2" s="99">
        <v>0.2</v>
      </c>
      <c r="AA2" s="99" t="s">
        <v>484</v>
      </c>
      <c r="AB2" s="99" t="s">
        <v>485</v>
      </c>
    </row>
    <row r="3" spans="1:28">
      <c r="A3" s="200" t="str">
        <f>IF('5-ATJIF-02'!G25&gt;=6,IF('5-ATJIF-02'!G25&lt;=10,'5-ATJIF-02'!G25," ")," ")</f>
        <v xml:space="preserve"> </v>
      </c>
      <c r="B3" s="201">
        <v>1.75</v>
      </c>
      <c r="C3" s="201">
        <v>3</v>
      </c>
      <c r="D3" s="201">
        <v>0</v>
      </c>
      <c r="E3" s="201">
        <v>0.25</v>
      </c>
      <c r="F3" s="201">
        <v>0.25</v>
      </c>
      <c r="G3" s="201">
        <v>0</v>
      </c>
      <c r="H3" s="201">
        <v>0</v>
      </c>
      <c r="I3" s="201">
        <v>0.5</v>
      </c>
      <c r="K3" s="201" t="str">
        <f>IF('5-ATJIF-02'!G25&gt;=20,IF('5-ATJIF-02'!G25&lt;=49,'5-ATJIF-02'!G25," ")," ")</f>
        <v xml:space="preserve"> </v>
      </c>
      <c r="L3" s="201">
        <v>1</v>
      </c>
      <c r="M3" s="201">
        <v>0.5</v>
      </c>
      <c r="Q3" s="99" t="s">
        <v>486</v>
      </c>
      <c r="R3" s="99" t="s">
        <v>487</v>
      </c>
      <c r="U3" s="202" t="s">
        <v>488</v>
      </c>
      <c r="V3" s="99">
        <v>200</v>
      </c>
      <c r="W3" s="99">
        <v>100</v>
      </c>
      <c r="X3" s="99">
        <v>200</v>
      </c>
      <c r="Y3" s="99">
        <v>150</v>
      </c>
      <c r="Z3" s="99">
        <v>0.2</v>
      </c>
      <c r="AA3" s="99" t="s">
        <v>484</v>
      </c>
      <c r="AB3" s="99" t="s">
        <v>485</v>
      </c>
    </row>
    <row r="4" spans="1:28">
      <c r="A4" s="200" t="str">
        <f>IF('5-ATJIF-02'!G25&gt;=11,IF('5-ATJIF-02'!G25&lt;=15,'5-ATJIF-02'!G25," ")," ")</f>
        <v xml:space="preserve"> </v>
      </c>
      <c r="B4" s="201">
        <v>2.25</v>
      </c>
      <c r="C4" s="201">
        <v>3</v>
      </c>
      <c r="D4" s="201">
        <v>0</v>
      </c>
      <c r="E4" s="201">
        <v>0.25</v>
      </c>
      <c r="F4" s="201">
        <v>0.25</v>
      </c>
      <c r="G4" s="201">
        <v>0</v>
      </c>
      <c r="H4" s="201">
        <v>0.5</v>
      </c>
      <c r="I4" s="201">
        <v>1.5</v>
      </c>
      <c r="K4" s="201" t="str">
        <f>IF('5-ATJIF-02'!G25&gt;=50,IF('5-ATJIF-02'!G25&lt;=79,'5-ATJIF-02'!G25," ")," ")</f>
        <v xml:space="preserve"> </v>
      </c>
      <c r="L4" s="201">
        <v>1</v>
      </c>
      <c r="M4" s="201">
        <v>1</v>
      </c>
      <c r="Q4" s="99" t="s">
        <v>43</v>
      </c>
      <c r="R4" s="99">
        <v>0</v>
      </c>
      <c r="U4" s="202" t="s">
        <v>489</v>
      </c>
      <c r="V4" s="99">
        <v>200</v>
      </c>
      <c r="W4" s="99">
        <v>100</v>
      </c>
      <c r="X4" s="99">
        <v>200</v>
      </c>
      <c r="Y4" s="99">
        <v>150</v>
      </c>
      <c r="Z4" s="99">
        <v>0.2</v>
      </c>
      <c r="AA4" s="99" t="s">
        <v>484</v>
      </c>
      <c r="AB4" s="99" t="s">
        <v>485</v>
      </c>
    </row>
    <row r="5" spans="1:28">
      <c r="A5" s="200" t="str">
        <f>IF('5-ATJIF-02'!G25&gt;=16,IF('5-ATJIF-02'!G25&lt;=25,'5-ATJIF-02'!G25," ")," ")</f>
        <v xml:space="preserve"> </v>
      </c>
      <c r="B5" s="201">
        <v>2.75</v>
      </c>
      <c r="C5" s="201">
        <v>3.5</v>
      </c>
      <c r="D5" s="201">
        <v>0</v>
      </c>
      <c r="E5" s="201">
        <v>0.25</v>
      </c>
      <c r="F5" s="201">
        <v>0.25</v>
      </c>
      <c r="G5" s="201">
        <v>0</v>
      </c>
      <c r="H5" s="201">
        <v>1</v>
      </c>
      <c r="I5" s="201">
        <v>2</v>
      </c>
      <c r="K5" s="201" t="str">
        <f>IF('5-ATJIF-02'!G25&gt;=80,IF('5-ATJIF-02'!G25&lt;=199,'5-ATJIF-02'!G25," ")," ")</f>
        <v xml:space="preserve"> </v>
      </c>
      <c r="L5" s="201">
        <v>1</v>
      </c>
      <c r="M5" s="201">
        <v>1.5</v>
      </c>
      <c r="Q5" s="99" t="s">
        <v>21</v>
      </c>
      <c r="R5" s="99">
        <v>0.25</v>
      </c>
      <c r="U5" s="202" t="s">
        <v>490</v>
      </c>
      <c r="V5" s="99">
        <v>200</v>
      </c>
      <c r="W5" s="99">
        <v>100</v>
      </c>
      <c r="X5" s="99">
        <v>200</v>
      </c>
      <c r="Y5" s="99">
        <v>150</v>
      </c>
      <c r="Z5" s="99">
        <v>0.2</v>
      </c>
      <c r="AA5" s="99" t="s">
        <v>484</v>
      </c>
      <c r="AB5" s="99" t="s">
        <v>485</v>
      </c>
    </row>
    <row r="6" spans="1:28">
      <c r="A6" s="200" t="str">
        <f>IF('5-ATJIF-02'!G25&gt;=26,IF('5-ATJIF-02'!G25&lt;=45,'5-ATJIF-02'!G25," ")," ")</f>
        <v xml:space="preserve"> </v>
      </c>
      <c r="B6" s="201">
        <v>3.75</v>
      </c>
      <c r="C6" s="201">
        <v>4</v>
      </c>
      <c r="D6" s="201">
        <v>0</v>
      </c>
      <c r="E6" s="201">
        <v>0.25</v>
      </c>
      <c r="F6" s="201">
        <v>0.25</v>
      </c>
      <c r="G6" s="201">
        <v>0</v>
      </c>
      <c r="H6" s="201">
        <v>1.5</v>
      </c>
      <c r="I6" s="201">
        <v>3</v>
      </c>
      <c r="K6" s="201" t="str">
        <f>IF('5-ATJIF-02'!G25&gt;=200,IF('5-ATJIF-02'!G25&lt;=499,'5-ATJIF-02'!G25," ")," ")</f>
        <v xml:space="preserve"> </v>
      </c>
      <c r="L6" s="201">
        <v>1</v>
      </c>
      <c r="M6" s="201">
        <v>2</v>
      </c>
      <c r="U6" s="202" t="s">
        <v>491</v>
      </c>
      <c r="V6" s="99">
        <v>200</v>
      </c>
      <c r="W6" s="99">
        <v>100</v>
      </c>
      <c r="X6" s="99">
        <v>200</v>
      </c>
      <c r="Y6" s="99">
        <v>150</v>
      </c>
      <c r="Z6" s="99">
        <v>0.2</v>
      </c>
      <c r="AA6" s="99" t="s">
        <v>484</v>
      </c>
      <c r="AB6" s="99" t="s">
        <v>485</v>
      </c>
    </row>
    <row r="7" spans="1:28" ht="45">
      <c r="A7" s="200" t="str">
        <f>IF('5-ATJIF-02'!G25&gt;=46,IF('5-ATJIF-02'!G25&lt;=65,'5-ATJIF-02'!G25," ")," ")</f>
        <v xml:space="preserve"> </v>
      </c>
      <c r="B7" s="201">
        <v>4.75</v>
      </c>
      <c r="C7" s="201">
        <v>4.5</v>
      </c>
      <c r="D7" s="201">
        <v>0</v>
      </c>
      <c r="E7" s="201">
        <v>0.25</v>
      </c>
      <c r="F7" s="201">
        <v>0.25</v>
      </c>
      <c r="G7" s="201">
        <v>0</v>
      </c>
      <c r="H7" s="201">
        <v>1.5</v>
      </c>
      <c r="I7" s="201">
        <v>3.5</v>
      </c>
      <c r="K7" s="201" t="str">
        <f>IF('5-ATJIF-02'!G25&gt;=500,IF('5-ATJIF-02'!G25&lt;=899,'5-ATJIF-02'!G25," ")," ")</f>
        <v xml:space="preserve"> </v>
      </c>
      <c r="L7" s="201">
        <v>1</v>
      </c>
      <c r="M7" s="201">
        <v>2.5</v>
      </c>
      <c r="U7" s="202" t="s">
        <v>492</v>
      </c>
      <c r="V7" s="99">
        <v>200</v>
      </c>
      <c r="W7" s="99">
        <v>100</v>
      </c>
      <c r="X7" s="99">
        <v>200</v>
      </c>
      <c r="Y7" s="99">
        <v>150</v>
      </c>
      <c r="Z7" s="99">
        <v>0.2</v>
      </c>
      <c r="AA7" s="99" t="s">
        <v>484</v>
      </c>
      <c r="AB7" s="99" t="s">
        <v>485</v>
      </c>
    </row>
    <row r="8" spans="1:28">
      <c r="A8" s="200" t="str">
        <f>IF('5-ATJIF-02'!G25&gt;=66,IF('5-ATJIF-02'!G25&lt;=85,'5-ATJIF-02'!G25," ")," ")</f>
        <v xml:space="preserve"> </v>
      </c>
      <c r="B8" s="201">
        <v>5.75</v>
      </c>
      <c r="C8" s="201">
        <v>5</v>
      </c>
      <c r="D8" s="201">
        <v>0</v>
      </c>
      <c r="E8" s="201">
        <v>0.25</v>
      </c>
      <c r="F8" s="201">
        <v>0.25</v>
      </c>
      <c r="G8" s="201">
        <v>0</v>
      </c>
      <c r="H8" s="201">
        <v>2</v>
      </c>
      <c r="I8" s="201">
        <v>4</v>
      </c>
      <c r="K8" s="254">
        <v>0</v>
      </c>
      <c r="L8" s="254">
        <v>0</v>
      </c>
      <c r="M8" s="254">
        <v>0</v>
      </c>
      <c r="U8" s="202" t="s">
        <v>493</v>
      </c>
      <c r="V8" s="99">
        <v>200</v>
      </c>
      <c r="W8" s="99">
        <v>100</v>
      </c>
      <c r="X8" s="99">
        <v>200</v>
      </c>
      <c r="Y8" s="99">
        <v>150</v>
      </c>
      <c r="Z8" s="99">
        <v>0.2</v>
      </c>
      <c r="AA8" s="99" t="s">
        <v>484</v>
      </c>
      <c r="AB8" s="99" t="s">
        <v>485</v>
      </c>
    </row>
    <row r="9" spans="1:28">
      <c r="A9" s="200" t="str">
        <f>IF('5-ATJIF-02'!G25&gt;=86,IF('5-ATJIF-02'!G25&lt;=125,'5-ATJIF-02'!G25," ")," ")</f>
        <v xml:space="preserve"> </v>
      </c>
      <c r="B9" s="201">
        <v>6.75</v>
      </c>
      <c r="C9" s="201">
        <v>5.5</v>
      </c>
      <c r="D9" s="201">
        <v>0</v>
      </c>
      <c r="E9" s="201">
        <v>0.25</v>
      </c>
      <c r="F9" s="201">
        <v>0.25</v>
      </c>
      <c r="G9" s="201">
        <v>0</v>
      </c>
      <c r="H9" s="201">
        <v>2.5</v>
      </c>
      <c r="I9" s="201">
        <v>4.5</v>
      </c>
      <c r="U9" s="202" t="s">
        <v>494</v>
      </c>
      <c r="V9" s="99">
        <v>200</v>
      </c>
      <c r="W9" s="99">
        <v>100</v>
      </c>
      <c r="X9" s="99">
        <v>200</v>
      </c>
      <c r="Y9" s="99">
        <v>150</v>
      </c>
      <c r="Z9" s="99">
        <v>0.2</v>
      </c>
      <c r="AA9" s="99" t="s">
        <v>484</v>
      </c>
      <c r="AB9" s="99" t="s">
        <v>485</v>
      </c>
    </row>
    <row r="10" spans="1:28">
      <c r="A10" s="200" t="str">
        <f>IF('5-ATJIF-02'!G25&gt;=126,IF('5-ATJIF-02'!G25&lt;=175,'5-ATJIF-02'!G25," ")," ")</f>
        <v xml:space="preserve"> </v>
      </c>
      <c r="B10" s="201">
        <v>7.75</v>
      </c>
      <c r="C10" s="201">
        <v>6</v>
      </c>
      <c r="D10" s="201">
        <v>0</v>
      </c>
      <c r="E10" s="201">
        <v>0.25</v>
      </c>
      <c r="F10" s="201">
        <v>0.25</v>
      </c>
      <c r="G10" s="201">
        <v>0</v>
      </c>
      <c r="H10" s="201">
        <v>3</v>
      </c>
      <c r="I10" s="201">
        <v>6</v>
      </c>
      <c r="U10" s="202" t="s">
        <v>495</v>
      </c>
      <c r="V10" s="99">
        <v>200</v>
      </c>
      <c r="W10" s="99">
        <v>100</v>
      </c>
      <c r="X10" s="99">
        <v>200</v>
      </c>
      <c r="Y10" s="99">
        <v>150</v>
      </c>
      <c r="Z10" s="99">
        <v>0.2</v>
      </c>
      <c r="AA10" s="99" t="s">
        <v>484</v>
      </c>
      <c r="AB10" s="99" t="s">
        <v>485</v>
      </c>
    </row>
    <row r="11" spans="1:28">
      <c r="A11" s="200" t="str">
        <f>IF('5-ATJIF-02'!G25&gt;=176,IF('5-ATJIF-02'!G25&lt;=275,'5-ATJIF-02'!G25," ")," ")</f>
        <v xml:space="preserve"> </v>
      </c>
      <c r="B11" s="201">
        <v>8.75</v>
      </c>
      <c r="C11" s="201">
        <v>7</v>
      </c>
      <c r="D11" s="201">
        <v>0</v>
      </c>
      <c r="E11" s="201">
        <v>0.25</v>
      </c>
      <c r="F11" s="201">
        <v>0.25</v>
      </c>
      <c r="G11" s="201">
        <v>0</v>
      </c>
      <c r="H11" s="201">
        <v>3</v>
      </c>
      <c r="I11" s="201">
        <v>6</v>
      </c>
      <c r="U11" s="202" t="s">
        <v>496</v>
      </c>
      <c r="V11" s="99">
        <v>200</v>
      </c>
      <c r="W11" s="99">
        <v>100</v>
      </c>
      <c r="X11" s="99">
        <v>200</v>
      </c>
      <c r="Y11" s="99">
        <v>150</v>
      </c>
      <c r="Z11" s="99">
        <v>0.2</v>
      </c>
      <c r="AA11" s="99" t="s">
        <v>484</v>
      </c>
      <c r="AB11" s="99" t="s">
        <v>485</v>
      </c>
    </row>
    <row r="12" spans="1:28" ht="30">
      <c r="A12" s="200" t="str">
        <f>IF('5-ATJIF-02'!G25&gt;=276,IF('5-ATJIF-02'!G25&lt;=425,'5-ATJIF-02'!G25," ")," ")</f>
        <v xml:space="preserve"> </v>
      </c>
      <c r="B12" s="201">
        <v>9.75</v>
      </c>
      <c r="C12" s="201">
        <v>8</v>
      </c>
      <c r="D12" s="201">
        <v>0</v>
      </c>
      <c r="E12" s="201">
        <v>0.25</v>
      </c>
      <c r="F12" s="201">
        <v>0.25</v>
      </c>
      <c r="G12" s="201">
        <v>0</v>
      </c>
      <c r="H12" s="201">
        <v>3</v>
      </c>
      <c r="I12" s="201">
        <v>7</v>
      </c>
      <c r="U12" s="202" t="s">
        <v>497</v>
      </c>
      <c r="V12" s="99">
        <v>200</v>
      </c>
      <c r="W12" s="99">
        <v>100</v>
      </c>
      <c r="X12" s="99">
        <v>200</v>
      </c>
      <c r="Y12" s="99">
        <v>150</v>
      </c>
      <c r="Z12" s="99">
        <v>0.2</v>
      </c>
      <c r="AA12" s="99" t="s">
        <v>484</v>
      </c>
      <c r="AB12" s="99" t="s">
        <v>485</v>
      </c>
    </row>
    <row r="13" spans="1:28">
      <c r="A13" s="200" t="str">
        <f>IF('5-ATJIF-02'!G25&gt;=426,IF('5-ATJIF-02'!G25&lt;=625,'5-ATJIF-02'!G25," ")," ")</f>
        <v xml:space="preserve"> </v>
      </c>
      <c r="B13" s="201">
        <v>10.75</v>
      </c>
      <c r="C13" s="201">
        <v>9</v>
      </c>
      <c r="D13" s="203">
        <v>0</v>
      </c>
      <c r="E13" s="201">
        <v>0.25</v>
      </c>
      <c r="F13" s="203">
        <v>0.25</v>
      </c>
      <c r="G13" s="201">
        <v>0</v>
      </c>
      <c r="H13" s="201">
        <v>3</v>
      </c>
      <c r="I13" s="201">
        <v>7</v>
      </c>
      <c r="U13" s="202" t="s">
        <v>498</v>
      </c>
      <c r="V13" s="99">
        <v>200</v>
      </c>
      <c r="W13" s="99">
        <v>100</v>
      </c>
      <c r="X13" s="99">
        <v>200</v>
      </c>
      <c r="Y13" s="99">
        <v>150</v>
      </c>
      <c r="Z13" s="99">
        <v>0.2</v>
      </c>
      <c r="AA13" s="99" t="s">
        <v>484</v>
      </c>
      <c r="AB13" s="99" t="s">
        <v>485</v>
      </c>
    </row>
    <row r="14" spans="1:28">
      <c r="A14" s="200" t="str">
        <f>IF('5-ATJIF-02'!G25&gt;=626,IF('5-ATJIF-02'!G25&lt;=875,'5-ATJIF-02'!G25," ")," ")</f>
        <v xml:space="preserve"> </v>
      </c>
      <c r="B14" s="201">
        <v>11.75</v>
      </c>
      <c r="C14" s="201">
        <v>10</v>
      </c>
      <c r="D14" s="203">
        <v>0</v>
      </c>
      <c r="E14" s="201">
        <v>0.25</v>
      </c>
      <c r="F14" s="203">
        <v>0.25</v>
      </c>
      <c r="G14" s="201">
        <v>0</v>
      </c>
      <c r="H14" s="201">
        <v>3</v>
      </c>
      <c r="I14" s="201">
        <v>7</v>
      </c>
      <c r="U14" s="202" t="s">
        <v>499</v>
      </c>
      <c r="V14" s="99">
        <v>200</v>
      </c>
      <c r="W14" s="99">
        <v>100</v>
      </c>
      <c r="X14" s="99">
        <v>200</v>
      </c>
      <c r="Y14" s="99">
        <v>150</v>
      </c>
      <c r="Z14" s="99">
        <v>0.2</v>
      </c>
      <c r="AA14" s="99" t="s">
        <v>484</v>
      </c>
      <c r="AB14" s="99" t="s">
        <v>485</v>
      </c>
    </row>
    <row r="15" spans="1:28" ht="30">
      <c r="A15" s="200" t="str">
        <f>IF('5-ATJIF-02'!G25&gt;=876,IF('5-ATJIF-02'!G25&lt;=1175,'5-ATJIF-02'!G25," ")," ")</f>
        <v xml:space="preserve"> </v>
      </c>
      <c r="B15" s="201">
        <v>12.75</v>
      </c>
      <c r="C15" s="201">
        <v>11</v>
      </c>
      <c r="D15" s="203">
        <v>0</v>
      </c>
      <c r="E15" s="201">
        <v>0.25</v>
      </c>
      <c r="F15" s="203">
        <v>0.25</v>
      </c>
      <c r="G15" s="201">
        <v>0</v>
      </c>
      <c r="H15" s="201">
        <v>4</v>
      </c>
      <c r="I15" s="201">
        <v>8</v>
      </c>
      <c r="U15" s="202" t="s">
        <v>500</v>
      </c>
      <c r="V15" s="99">
        <v>200</v>
      </c>
      <c r="W15" s="99">
        <v>100</v>
      </c>
      <c r="X15" s="99">
        <v>200</v>
      </c>
      <c r="Y15" s="99">
        <v>150</v>
      </c>
      <c r="Z15" s="99">
        <v>0.2</v>
      </c>
      <c r="AA15" s="99" t="s">
        <v>484</v>
      </c>
      <c r="AB15" s="99" t="s">
        <v>485</v>
      </c>
    </row>
    <row r="16" spans="1:28">
      <c r="A16" s="200" t="str">
        <f>IF('5-ATJIF-02'!G25&gt;=1176,IF('5-ATJIF-02'!G25&lt;=1550,'5-ATJIF-02'!G25," ")," ")</f>
        <v xml:space="preserve"> </v>
      </c>
      <c r="B16" s="201">
        <v>13.75</v>
      </c>
      <c r="C16" s="201">
        <v>12</v>
      </c>
      <c r="D16" s="203">
        <v>0</v>
      </c>
      <c r="E16" s="201">
        <v>0.25</v>
      </c>
      <c r="F16" s="203">
        <v>0.25</v>
      </c>
      <c r="G16" s="201">
        <v>0</v>
      </c>
      <c r="H16" s="201">
        <v>4</v>
      </c>
      <c r="I16" s="201">
        <v>8</v>
      </c>
      <c r="P16" s="99" t="s">
        <v>501</v>
      </c>
      <c r="R16" s="99" t="s">
        <v>501</v>
      </c>
      <c r="U16" s="202" t="s">
        <v>502</v>
      </c>
      <c r="V16" s="99">
        <v>200</v>
      </c>
      <c r="W16" s="99">
        <v>100</v>
      </c>
      <c r="X16" s="99">
        <v>200</v>
      </c>
      <c r="Y16" s="99">
        <v>150</v>
      </c>
      <c r="Z16" s="99">
        <v>0.2</v>
      </c>
      <c r="AA16" s="99" t="s">
        <v>484</v>
      </c>
      <c r="AB16" s="99" t="s">
        <v>485</v>
      </c>
    </row>
    <row r="17" spans="1:28">
      <c r="A17" s="200" t="str">
        <f>IF('5-ATJIF-02'!G25&gt;=1551,IF('5-ATJIF-02'!G25&lt;=2025,'5-ATJIF-02'!G25," ")," ")</f>
        <v xml:space="preserve"> </v>
      </c>
      <c r="B17" s="201">
        <v>14.75</v>
      </c>
      <c r="C17" s="201">
        <v>12</v>
      </c>
      <c r="D17" s="203">
        <v>0</v>
      </c>
      <c r="E17" s="201">
        <v>0.25</v>
      </c>
      <c r="F17" s="203">
        <v>0.25</v>
      </c>
      <c r="G17" s="201">
        <v>0</v>
      </c>
      <c r="H17" s="201">
        <v>5</v>
      </c>
      <c r="I17" s="201">
        <v>9</v>
      </c>
      <c r="P17" s="99" t="s">
        <v>385</v>
      </c>
      <c r="R17" s="99" t="s">
        <v>385</v>
      </c>
      <c r="U17" s="202" t="s">
        <v>503</v>
      </c>
      <c r="V17" s="99">
        <v>200</v>
      </c>
      <c r="W17" s="99">
        <v>100</v>
      </c>
      <c r="X17" s="99">
        <v>200</v>
      </c>
      <c r="Y17" s="99">
        <v>150</v>
      </c>
      <c r="Z17" s="99">
        <v>0.2</v>
      </c>
      <c r="AA17" s="99" t="s">
        <v>484</v>
      </c>
      <c r="AB17" s="99" t="s">
        <v>485</v>
      </c>
    </row>
    <row r="18" spans="1:28">
      <c r="A18" s="200" t="str">
        <f>IF('5-ATJIF-02'!G25&gt;=2026,IF('5-ATJIF-02'!G25&lt;=2675,'5-ATJIF-02'!G25," ")," ")</f>
        <v xml:space="preserve"> </v>
      </c>
      <c r="B18" s="201">
        <v>15.75</v>
      </c>
      <c r="C18" s="201">
        <v>13</v>
      </c>
      <c r="D18" s="203">
        <v>0</v>
      </c>
      <c r="E18" s="201">
        <v>0.25</v>
      </c>
      <c r="F18" s="203">
        <v>0.25</v>
      </c>
      <c r="G18" s="201">
        <v>0</v>
      </c>
      <c r="H18" s="201">
        <v>5</v>
      </c>
      <c r="I18" s="201">
        <v>10</v>
      </c>
      <c r="M18" s="99" t="s">
        <v>439</v>
      </c>
      <c r="P18" s="99" t="s">
        <v>504</v>
      </c>
      <c r="R18" s="99" t="s">
        <v>505</v>
      </c>
      <c r="U18" s="202" t="s">
        <v>506</v>
      </c>
      <c r="V18" s="99">
        <v>200</v>
      </c>
      <c r="W18" s="99">
        <v>100</v>
      </c>
      <c r="X18" s="99">
        <v>200</v>
      </c>
      <c r="Y18" s="99">
        <v>150</v>
      </c>
      <c r="Z18" s="99">
        <v>0.2</v>
      </c>
      <c r="AA18" s="99" t="s">
        <v>484</v>
      </c>
      <c r="AB18" s="99" t="s">
        <v>485</v>
      </c>
    </row>
    <row r="19" spans="1:28">
      <c r="A19" s="200" t="str">
        <f>IF('5-ATJIF-02'!G25&gt;=2676,IF('5-ATJIF-02'!G25&lt;=3450,'5-ATJIF-02'!G25," ")," ")</f>
        <v xml:space="preserve"> </v>
      </c>
      <c r="B19" s="201">
        <v>16.75</v>
      </c>
      <c r="C19" s="201">
        <v>14</v>
      </c>
      <c r="D19" s="203">
        <v>0</v>
      </c>
      <c r="E19" s="201">
        <v>0.25</v>
      </c>
      <c r="F19" s="203">
        <v>0.25</v>
      </c>
      <c r="G19" s="201">
        <v>0</v>
      </c>
      <c r="H19" s="201">
        <v>5</v>
      </c>
      <c r="I19" s="201">
        <v>11</v>
      </c>
      <c r="M19" s="99" t="s">
        <v>507</v>
      </c>
      <c r="P19" s="99" t="s">
        <v>508</v>
      </c>
      <c r="R19" s="99" t="s">
        <v>504</v>
      </c>
      <c r="U19" s="202" t="s">
        <v>509</v>
      </c>
      <c r="V19" s="99">
        <v>200</v>
      </c>
      <c r="W19" s="99">
        <v>100</v>
      </c>
      <c r="X19" s="99">
        <v>200</v>
      </c>
      <c r="Y19" s="99">
        <v>150</v>
      </c>
      <c r="Z19" s="99">
        <v>0.2</v>
      </c>
      <c r="AA19" s="99" t="s">
        <v>484</v>
      </c>
      <c r="AB19" s="99" t="s">
        <v>485</v>
      </c>
    </row>
    <row r="20" spans="1:28">
      <c r="A20" s="200" t="str">
        <f>IF('5-ATJIF-02'!G25&gt;=3451,IF('5-ATJIF-02'!G25&lt;=43505,'5-ATJIF-02'!G25," ")," ")</f>
        <v xml:space="preserve"> </v>
      </c>
      <c r="B20" s="201">
        <v>17.75</v>
      </c>
      <c r="C20" s="201">
        <v>15</v>
      </c>
      <c r="D20" s="203">
        <v>0</v>
      </c>
      <c r="E20" s="201">
        <v>0.25</v>
      </c>
      <c r="F20" s="203">
        <v>0.25</v>
      </c>
      <c r="G20" s="201">
        <v>0</v>
      </c>
      <c r="H20" s="201">
        <v>5</v>
      </c>
      <c r="I20" s="201">
        <v>12</v>
      </c>
      <c r="M20" s="99" t="s">
        <v>510</v>
      </c>
      <c r="P20" s="99" t="s">
        <v>511</v>
      </c>
      <c r="R20" s="99" t="s">
        <v>508</v>
      </c>
      <c r="U20" s="202" t="s">
        <v>512</v>
      </c>
      <c r="V20" s="99">
        <v>200</v>
      </c>
      <c r="W20" s="99">
        <v>100</v>
      </c>
      <c r="X20" s="99">
        <v>200</v>
      </c>
      <c r="Y20" s="99">
        <v>150</v>
      </c>
      <c r="Z20" s="99">
        <v>0.2</v>
      </c>
      <c r="AA20" s="99" t="s">
        <v>484</v>
      </c>
      <c r="AB20" s="99" t="s">
        <v>485</v>
      </c>
    </row>
    <row r="21" spans="1:28">
      <c r="A21" s="200" t="str">
        <f>IF('5-ATJIF-02'!G25&gt;=4351,IF('5-ATJIF-02'!G25&lt;=5450,'5-ATJIF-02'!G25," ")," ")</f>
        <v xml:space="preserve"> </v>
      </c>
      <c r="B21" s="201">
        <v>18.75</v>
      </c>
      <c r="C21" s="201">
        <v>16</v>
      </c>
      <c r="D21" s="203">
        <v>0</v>
      </c>
      <c r="E21" s="201">
        <v>0.25</v>
      </c>
      <c r="F21" s="203">
        <v>0.25</v>
      </c>
      <c r="G21" s="201">
        <v>0</v>
      </c>
      <c r="H21" s="201">
        <v>5</v>
      </c>
      <c r="I21" s="201">
        <v>12</v>
      </c>
      <c r="M21" s="99" t="s">
        <v>513</v>
      </c>
      <c r="P21" s="99" t="s">
        <v>206</v>
      </c>
      <c r="R21" s="99" t="s">
        <v>60</v>
      </c>
      <c r="U21" s="202" t="s">
        <v>514</v>
      </c>
      <c r="V21" s="99">
        <v>200</v>
      </c>
      <c r="W21" s="99">
        <v>100</v>
      </c>
      <c r="X21" s="99">
        <v>200</v>
      </c>
      <c r="Y21" s="99">
        <v>150</v>
      </c>
      <c r="Z21" s="99">
        <v>0.2</v>
      </c>
      <c r="AA21" s="99" t="s">
        <v>484</v>
      </c>
      <c r="AB21" s="99" t="s">
        <v>485</v>
      </c>
    </row>
    <row r="22" spans="1:28">
      <c r="A22" s="200" t="str">
        <f>IF('5-ATJIF-02'!G25&gt;=5451,IF('5-ATJIF-02'!G25&lt;=6800,'5-ATJIF-02'!G25," ")," ")</f>
        <v xml:space="preserve"> </v>
      </c>
      <c r="B22" s="201">
        <v>19.75</v>
      </c>
      <c r="C22" s="201">
        <v>17</v>
      </c>
      <c r="D22" s="203">
        <v>0</v>
      </c>
      <c r="E22" s="201">
        <v>0.25</v>
      </c>
      <c r="F22" s="203">
        <v>0.25</v>
      </c>
      <c r="G22" s="201">
        <v>0</v>
      </c>
      <c r="H22" s="201">
        <v>6</v>
      </c>
      <c r="I22" s="201">
        <v>13</v>
      </c>
      <c r="M22" s="99" t="s">
        <v>515</v>
      </c>
      <c r="R22" s="99" t="s">
        <v>511</v>
      </c>
      <c r="U22" s="202" t="s">
        <v>516</v>
      </c>
      <c r="V22" s="99">
        <v>200</v>
      </c>
      <c r="W22" s="99">
        <v>100</v>
      </c>
      <c r="X22" s="99">
        <v>200</v>
      </c>
      <c r="Y22" s="99">
        <v>150</v>
      </c>
      <c r="Z22" s="99">
        <v>0.2</v>
      </c>
      <c r="AA22" s="99" t="s">
        <v>484</v>
      </c>
      <c r="AB22" s="99" t="s">
        <v>485</v>
      </c>
    </row>
    <row r="23" spans="1:28" ht="60">
      <c r="A23" s="200" t="str">
        <f>IF('5-ATJIF-02'!G25&gt;6800,'5-ATJIF-02'!G25," ")</f>
        <v xml:space="preserve"> </v>
      </c>
      <c r="B23" s="204" t="s">
        <v>517</v>
      </c>
      <c r="C23" s="204" t="s">
        <v>517</v>
      </c>
      <c r="D23" s="203">
        <v>0</v>
      </c>
      <c r="E23" s="201">
        <v>0.25</v>
      </c>
      <c r="F23" s="203">
        <v>0.25</v>
      </c>
      <c r="G23" s="201">
        <v>0</v>
      </c>
      <c r="H23" s="201"/>
      <c r="I23" s="201"/>
      <c r="M23" s="99" t="s">
        <v>518</v>
      </c>
      <c r="R23" s="99" t="s">
        <v>206</v>
      </c>
      <c r="U23" s="202" t="s">
        <v>519</v>
      </c>
      <c r="V23" s="99">
        <v>200</v>
      </c>
      <c r="W23" s="99">
        <v>100</v>
      </c>
      <c r="X23" s="99">
        <v>200</v>
      </c>
      <c r="Y23" s="99">
        <v>150</v>
      </c>
      <c r="Z23" s="99">
        <v>0.2</v>
      </c>
      <c r="AA23" s="99" t="s">
        <v>484</v>
      </c>
      <c r="AB23" s="99" t="s">
        <v>485</v>
      </c>
    </row>
    <row r="24" spans="1:28">
      <c r="M24" s="99" t="s">
        <v>520</v>
      </c>
      <c r="U24" s="202" t="s">
        <v>521</v>
      </c>
      <c r="V24" s="99">
        <v>200</v>
      </c>
      <c r="W24" s="99">
        <v>100</v>
      </c>
      <c r="X24" s="99">
        <v>200</v>
      </c>
      <c r="Y24" s="99">
        <v>150</v>
      </c>
      <c r="Z24" s="99">
        <v>0.2</v>
      </c>
      <c r="AA24" s="99" t="s">
        <v>484</v>
      </c>
      <c r="AB24" s="99" t="s">
        <v>485</v>
      </c>
    </row>
    <row r="25" spans="1:28">
      <c r="M25" s="99" t="s">
        <v>522</v>
      </c>
      <c r="Q25" s="99" t="s">
        <v>373</v>
      </c>
      <c r="R25" s="99" t="s">
        <v>501</v>
      </c>
      <c r="U25" s="202" t="s">
        <v>523</v>
      </c>
      <c r="V25" s="99">
        <v>200</v>
      </c>
      <c r="W25" s="99">
        <v>100</v>
      </c>
      <c r="X25" s="99">
        <v>200</v>
      </c>
      <c r="Y25" s="99">
        <v>150</v>
      </c>
      <c r="Z25" s="99">
        <v>0.2</v>
      </c>
      <c r="AA25" s="99" t="s">
        <v>484</v>
      </c>
      <c r="AB25" s="99" t="s">
        <v>485</v>
      </c>
    </row>
    <row r="26" spans="1:28" ht="45">
      <c r="M26" s="99" t="s">
        <v>524</v>
      </c>
      <c r="Q26" s="99" t="s">
        <v>525</v>
      </c>
      <c r="R26" s="99" t="s">
        <v>364</v>
      </c>
      <c r="U26" s="202" t="s">
        <v>526</v>
      </c>
      <c r="V26" s="99">
        <v>200</v>
      </c>
      <c r="W26" s="99">
        <v>100</v>
      </c>
      <c r="X26" s="99">
        <v>200</v>
      </c>
      <c r="Y26" s="99">
        <v>150</v>
      </c>
      <c r="Z26" s="99">
        <v>0.2</v>
      </c>
      <c r="AA26" s="99" t="s">
        <v>484</v>
      </c>
      <c r="AB26" s="99" t="s">
        <v>485</v>
      </c>
    </row>
    <row r="27" spans="1:28">
      <c r="Q27" s="99" t="s">
        <v>159</v>
      </c>
      <c r="R27" s="99" t="s">
        <v>527</v>
      </c>
      <c r="U27" s="202" t="s">
        <v>528</v>
      </c>
      <c r="V27" s="99">
        <v>200</v>
      </c>
      <c r="W27" s="99">
        <v>100</v>
      </c>
      <c r="X27" s="99">
        <v>200</v>
      </c>
      <c r="Y27" s="99">
        <v>150</v>
      </c>
      <c r="Z27" s="99">
        <v>0.2</v>
      </c>
      <c r="AA27" s="99" t="s">
        <v>484</v>
      </c>
      <c r="AB27" s="99" t="s">
        <v>485</v>
      </c>
    </row>
    <row r="28" spans="1:28" ht="30">
      <c r="Q28" s="99" t="s">
        <v>529</v>
      </c>
      <c r="R28" s="99" t="s">
        <v>206</v>
      </c>
      <c r="U28" s="202" t="s">
        <v>530</v>
      </c>
      <c r="V28" s="99">
        <v>200</v>
      </c>
      <c r="W28" s="99">
        <v>100</v>
      </c>
      <c r="X28" s="99">
        <v>200</v>
      </c>
      <c r="Y28" s="99">
        <v>150</v>
      </c>
      <c r="Z28" s="99">
        <v>0.2</v>
      </c>
      <c r="AA28" s="99" t="s">
        <v>484</v>
      </c>
      <c r="AB28" s="99" t="s">
        <v>485</v>
      </c>
    </row>
    <row r="29" spans="1:28">
      <c r="Q29" s="99" t="s">
        <v>531</v>
      </c>
      <c r="U29" s="202" t="s">
        <v>532</v>
      </c>
      <c r="V29" s="99">
        <v>200</v>
      </c>
      <c r="W29" s="99">
        <v>100</v>
      </c>
      <c r="X29" s="99">
        <v>200</v>
      </c>
      <c r="Y29" s="99">
        <v>150</v>
      </c>
      <c r="Z29" s="99">
        <v>0.2</v>
      </c>
      <c r="AA29" s="99" t="s">
        <v>484</v>
      </c>
      <c r="AB29" s="99" t="s">
        <v>485</v>
      </c>
    </row>
    <row r="30" spans="1:28" ht="30">
      <c r="Q30" s="99" t="s">
        <v>511</v>
      </c>
      <c r="U30" s="202" t="s">
        <v>533</v>
      </c>
      <c r="V30" s="99">
        <v>200</v>
      </c>
      <c r="W30" s="99">
        <v>100</v>
      </c>
      <c r="X30" s="99">
        <v>200</v>
      </c>
      <c r="Y30" s="99">
        <v>150</v>
      </c>
      <c r="Z30" s="99">
        <v>0.2</v>
      </c>
      <c r="AA30" s="99" t="s">
        <v>484</v>
      </c>
      <c r="AB30" s="99" t="s">
        <v>485</v>
      </c>
    </row>
    <row r="31" spans="1:28">
      <c r="Q31" s="99" t="s">
        <v>206</v>
      </c>
      <c r="U31" s="202" t="s">
        <v>534</v>
      </c>
      <c r="V31" s="99">
        <v>200</v>
      </c>
      <c r="W31" s="99">
        <v>100</v>
      </c>
      <c r="X31" s="99">
        <v>200</v>
      </c>
      <c r="Y31" s="99">
        <v>150</v>
      </c>
      <c r="Z31" s="99">
        <v>0.2</v>
      </c>
      <c r="AA31" s="99" t="s">
        <v>484</v>
      </c>
      <c r="AB31" s="99" t="s">
        <v>485</v>
      </c>
    </row>
    <row r="32" spans="1:28">
      <c r="U32" s="202" t="s">
        <v>535</v>
      </c>
      <c r="V32" s="99">
        <v>200</v>
      </c>
      <c r="W32" s="99">
        <v>100</v>
      </c>
      <c r="X32" s="99">
        <v>200</v>
      </c>
      <c r="Y32" s="99">
        <v>150</v>
      </c>
      <c r="Z32" s="99">
        <v>0.2</v>
      </c>
      <c r="AA32" s="99" t="s">
        <v>484</v>
      </c>
      <c r="AB32" s="99" t="s">
        <v>485</v>
      </c>
    </row>
    <row r="33" spans="1:28">
      <c r="U33" s="202" t="s">
        <v>536</v>
      </c>
      <c r="V33" s="99">
        <v>200</v>
      </c>
      <c r="W33" s="99">
        <v>100</v>
      </c>
      <c r="X33" s="99">
        <v>200</v>
      </c>
      <c r="Y33" s="99">
        <v>150</v>
      </c>
      <c r="Z33" s="99">
        <v>0.2</v>
      </c>
      <c r="AA33" s="99" t="s">
        <v>484</v>
      </c>
      <c r="AB33" s="99" t="s">
        <v>485</v>
      </c>
    </row>
    <row r="34" spans="1:28" ht="45">
      <c r="N34" s="99" t="s">
        <v>385</v>
      </c>
      <c r="P34" s="99" t="s">
        <v>537</v>
      </c>
      <c r="U34" s="202" t="s">
        <v>538</v>
      </c>
      <c r="V34" s="99">
        <v>200</v>
      </c>
      <c r="W34" s="99">
        <v>100</v>
      </c>
      <c r="X34" s="99">
        <v>200</v>
      </c>
      <c r="Y34" s="99">
        <v>150</v>
      </c>
      <c r="Z34" s="99">
        <v>0.2</v>
      </c>
      <c r="AA34" s="99" t="s">
        <v>484</v>
      </c>
      <c r="AB34" s="99" t="s">
        <v>485</v>
      </c>
    </row>
    <row r="35" spans="1:28">
      <c r="N35" s="99" t="s">
        <v>525</v>
      </c>
      <c r="P35" s="99" t="s">
        <v>539</v>
      </c>
      <c r="U35" s="202" t="s">
        <v>540</v>
      </c>
      <c r="V35" s="99">
        <v>200</v>
      </c>
      <c r="W35" s="99">
        <v>100</v>
      </c>
      <c r="X35" s="99">
        <v>200</v>
      </c>
      <c r="Y35" s="99">
        <v>150</v>
      </c>
      <c r="Z35" s="99">
        <v>0.2</v>
      </c>
      <c r="AA35" s="99" t="s">
        <v>484</v>
      </c>
      <c r="AB35" s="99" t="s">
        <v>485</v>
      </c>
    </row>
    <row r="36" spans="1:28">
      <c r="N36" s="99" t="s">
        <v>159</v>
      </c>
      <c r="P36" s="99" t="s">
        <v>541</v>
      </c>
      <c r="U36" s="202" t="s">
        <v>542</v>
      </c>
      <c r="V36" s="99">
        <v>200</v>
      </c>
      <c r="W36" s="99">
        <v>100</v>
      </c>
      <c r="X36" s="99">
        <v>200</v>
      </c>
      <c r="Y36" s="99">
        <v>150</v>
      </c>
      <c r="Z36" s="99">
        <v>0.2</v>
      </c>
      <c r="AA36" s="99" t="s">
        <v>484</v>
      </c>
      <c r="AB36" s="99" t="s">
        <v>485</v>
      </c>
    </row>
    <row r="37" spans="1:28">
      <c r="N37" s="99" t="s">
        <v>543</v>
      </c>
      <c r="U37" s="202" t="s">
        <v>544</v>
      </c>
      <c r="V37" s="99">
        <v>200</v>
      </c>
      <c r="W37" s="99">
        <v>100</v>
      </c>
      <c r="X37" s="99">
        <v>200</v>
      </c>
      <c r="Y37" s="99">
        <v>150</v>
      </c>
      <c r="Z37" s="99">
        <v>0.2</v>
      </c>
      <c r="AA37" s="99" t="s">
        <v>484</v>
      </c>
      <c r="AB37" s="99" t="s">
        <v>485</v>
      </c>
    </row>
    <row r="38" spans="1:28">
      <c r="N38" s="99" t="s">
        <v>545</v>
      </c>
      <c r="U38" s="202" t="s">
        <v>546</v>
      </c>
      <c r="V38" s="99">
        <v>200</v>
      </c>
      <c r="W38" s="99">
        <v>100</v>
      </c>
      <c r="X38" s="99">
        <v>200</v>
      </c>
      <c r="Y38" s="99">
        <v>150</v>
      </c>
      <c r="Z38" s="99">
        <v>0.2</v>
      </c>
      <c r="AA38" s="99" t="s">
        <v>484</v>
      </c>
      <c r="AB38" s="99" t="s">
        <v>485</v>
      </c>
    </row>
    <row r="39" spans="1:28">
      <c r="U39" s="202" t="s">
        <v>547</v>
      </c>
      <c r="V39" s="99">
        <v>200</v>
      </c>
      <c r="W39" s="99">
        <v>100</v>
      </c>
      <c r="X39" s="99">
        <v>200</v>
      </c>
      <c r="Y39" s="99">
        <v>150</v>
      </c>
      <c r="Z39" s="99">
        <v>0.2</v>
      </c>
      <c r="AA39" s="99" t="s">
        <v>484</v>
      </c>
      <c r="AB39" s="99" t="s">
        <v>485</v>
      </c>
    </row>
    <row r="40" spans="1:28">
      <c r="M40" s="99" t="s">
        <v>548</v>
      </c>
      <c r="N40" s="99" t="s">
        <v>549</v>
      </c>
      <c r="U40" s="202" t="s">
        <v>550</v>
      </c>
      <c r="V40" s="99">
        <v>200</v>
      </c>
      <c r="W40" s="99">
        <v>100</v>
      </c>
      <c r="X40" s="99">
        <v>200</v>
      </c>
      <c r="Y40" s="99">
        <v>150</v>
      </c>
      <c r="Z40" s="99">
        <v>0.2</v>
      </c>
      <c r="AA40" s="99" t="s">
        <v>484</v>
      </c>
      <c r="AB40" s="99" t="s">
        <v>485</v>
      </c>
    </row>
    <row r="41" spans="1:28">
      <c r="M41" s="99" t="s">
        <v>453</v>
      </c>
      <c r="N41" s="99" t="s">
        <v>551</v>
      </c>
      <c r="U41" s="202" t="s">
        <v>552</v>
      </c>
      <c r="V41" s="99">
        <v>200</v>
      </c>
      <c r="W41" s="99">
        <v>100</v>
      </c>
      <c r="X41" s="99">
        <v>200</v>
      </c>
      <c r="Y41" s="99">
        <v>150</v>
      </c>
      <c r="Z41" s="99">
        <v>0.2</v>
      </c>
      <c r="AA41" s="99" t="s">
        <v>484</v>
      </c>
      <c r="AB41" s="99" t="s">
        <v>485</v>
      </c>
    </row>
    <row r="42" spans="1:28" ht="30">
      <c r="M42" s="99" t="s">
        <v>553</v>
      </c>
      <c r="N42" s="99" t="s">
        <v>554</v>
      </c>
      <c r="U42" s="202" t="s">
        <v>555</v>
      </c>
      <c r="V42" s="99">
        <v>200</v>
      </c>
      <c r="W42" s="99">
        <v>100</v>
      </c>
      <c r="X42" s="99">
        <v>200</v>
      </c>
      <c r="Y42" s="99">
        <v>150</v>
      </c>
      <c r="Z42" s="99">
        <v>0.2</v>
      </c>
      <c r="AA42" s="99" t="s">
        <v>484</v>
      </c>
      <c r="AB42" s="99" t="s">
        <v>485</v>
      </c>
    </row>
    <row r="43" spans="1:28">
      <c r="M43" s="99" t="s">
        <v>462</v>
      </c>
      <c r="N43" s="99" t="s">
        <v>556</v>
      </c>
      <c r="U43" s="202" t="s">
        <v>557</v>
      </c>
      <c r="V43" s="99">
        <v>200</v>
      </c>
      <c r="W43" s="99">
        <v>100</v>
      </c>
      <c r="X43" s="99">
        <v>200</v>
      </c>
      <c r="Y43" s="99">
        <v>150</v>
      </c>
      <c r="Z43" s="99">
        <v>0.2</v>
      </c>
      <c r="AA43" s="99" t="s">
        <v>484</v>
      </c>
      <c r="AB43" s="99" t="s">
        <v>485</v>
      </c>
    </row>
    <row r="44" spans="1:28">
      <c r="M44" s="99" t="s">
        <v>463</v>
      </c>
      <c r="N44" s="99" t="s">
        <v>558</v>
      </c>
      <c r="U44" s="202" t="s">
        <v>559</v>
      </c>
      <c r="V44" s="99">
        <v>200</v>
      </c>
      <c r="W44" s="99">
        <v>100</v>
      </c>
      <c r="X44" s="99">
        <v>200</v>
      </c>
      <c r="Y44" s="99">
        <v>150</v>
      </c>
      <c r="Z44" s="99">
        <v>0.2</v>
      </c>
      <c r="AA44" s="99" t="s">
        <v>484</v>
      </c>
      <c r="AB44" s="99" t="s">
        <v>485</v>
      </c>
    </row>
    <row r="45" spans="1:28">
      <c r="M45" s="99" t="s">
        <v>560</v>
      </c>
      <c r="N45" s="99" t="s">
        <v>561</v>
      </c>
      <c r="U45" s="202" t="s">
        <v>562</v>
      </c>
      <c r="V45" s="99">
        <v>200</v>
      </c>
      <c r="W45" s="99">
        <v>100</v>
      </c>
      <c r="X45" s="99">
        <v>200</v>
      </c>
      <c r="Y45" s="99">
        <v>150</v>
      </c>
      <c r="Z45" s="99">
        <v>0.2</v>
      </c>
      <c r="AA45" s="99" t="s">
        <v>484</v>
      </c>
      <c r="AB45" s="99" t="s">
        <v>485</v>
      </c>
    </row>
    <row r="46" spans="1:28" ht="30">
      <c r="U46" s="202" t="s">
        <v>563</v>
      </c>
      <c r="V46" s="99">
        <v>200</v>
      </c>
      <c r="W46" s="99">
        <v>100</v>
      </c>
      <c r="X46" s="99">
        <v>200</v>
      </c>
      <c r="Y46" s="99">
        <v>150</v>
      </c>
      <c r="Z46" s="99">
        <v>0.2</v>
      </c>
      <c r="AA46" s="99" t="s">
        <v>484</v>
      </c>
      <c r="AB46" s="99" t="s">
        <v>485</v>
      </c>
    </row>
    <row r="47" spans="1:28" ht="105">
      <c r="A47" s="99">
        <f>'5-ATJIF-02'!C13</f>
        <v>0</v>
      </c>
      <c r="U47" s="202" t="s">
        <v>564</v>
      </c>
      <c r="V47" s="99">
        <v>200</v>
      </c>
      <c r="W47" s="99">
        <v>100</v>
      </c>
      <c r="X47" s="99">
        <v>200</v>
      </c>
      <c r="Y47" s="99">
        <v>150</v>
      </c>
      <c r="Z47" s="99">
        <v>0.2</v>
      </c>
      <c r="AA47" s="99" t="s">
        <v>484</v>
      </c>
      <c r="AB47" s="99" t="s">
        <v>485</v>
      </c>
    </row>
    <row r="48" spans="1:28" ht="75">
      <c r="A48" s="99" t="e">
        <f>#REF!</f>
        <v>#REF!</v>
      </c>
      <c r="U48" s="202" t="s">
        <v>565</v>
      </c>
      <c r="V48" s="99">
        <v>200</v>
      </c>
      <c r="W48" s="99">
        <v>100</v>
      </c>
      <c r="X48" s="99">
        <v>200</v>
      </c>
      <c r="Y48" s="99">
        <v>150</v>
      </c>
      <c r="Z48" s="99">
        <v>0.2</v>
      </c>
      <c r="AA48" s="99" t="s">
        <v>484</v>
      </c>
      <c r="AB48" s="99" t="s">
        <v>485</v>
      </c>
    </row>
    <row r="49" spans="1:28">
      <c r="A49" s="99" t="e">
        <f>#REF!</f>
        <v>#REF!</v>
      </c>
      <c r="U49" s="202" t="s">
        <v>566</v>
      </c>
      <c r="V49" s="99">
        <v>200</v>
      </c>
      <c r="W49" s="99">
        <v>100</v>
      </c>
      <c r="X49" s="99">
        <v>200</v>
      </c>
      <c r="Y49" s="99">
        <v>150</v>
      </c>
      <c r="Z49" s="99">
        <v>0.2</v>
      </c>
      <c r="AA49" s="99" t="s">
        <v>484</v>
      </c>
      <c r="AB49" s="99" t="s">
        <v>485</v>
      </c>
    </row>
    <row r="50" spans="1:28">
      <c r="U50" s="202" t="s">
        <v>567</v>
      </c>
      <c r="V50" s="99">
        <v>200</v>
      </c>
      <c r="W50" s="99">
        <v>100</v>
      </c>
      <c r="X50" s="99">
        <v>200</v>
      </c>
      <c r="Y50" s="99">
        <v>150</v>
      </c>
      <c r="Z50" s="99">
        <v>0.2</v>
      </c>
      <c r="AA50" s="99" t="s">
        <v>484</v>
      </c>
      <c r="AB50" s="99" t="s">
        <v>485</v>
      </c>
    </row>
    <row r="51" spans="1:28">
      <c r="U51" s="202" t="s">
        <v>568</v>
      </c>
      <c r="V51" s="99">
        <v>200</v>
      </c>
      <c r="W51" s="99">
        <v>100</v>
      </c>
      <c r="X51" s="99">
        <v>200</v>
      </c>
      <c r="Y51" s="99">
        <v>150</v>
      </c>
      <c r="Z51" s="99">
        <v>0.2</v>
      </c>
      <c r="AA51" s="99" t="s">
        <v>484</v>
      </c>
      <c r="AB51" s="99" t="s">
        <v>485</v>
      </c>
    </row>
    <row r="52" spans="1:28" ht="45">
      <c r="U52" s="202" t="s">
        <v>569</v>
      </c>
      <c r="V52" s="99">
        <v>200</v>
      </c>
      <c r="W52" s="99">
        <v>100</v>
      </c>
      <c r="X52" s="99">
        <v>200</v>
      </c>
      <c r="Y52" s="99">
        <v>150</v>
      </c>
      <c r="Z52" s="99">
        <v>0.2</v>
      </c>
      <c r="AA52" s="99" t="s">
        <v>484</v>
      </c>
      <c r="AB52" s="99" t="s">
        <v>485</v>
      </c>
    </row>
    <row r="53" spans="1:28">
      <c r="U53" s="202" t="s">
        <v>570</v>
      </c>
      <c r="V53" s="99">
        <v>200</v>
      </c>
      <c r="W53" s="99">
        <v>100</v>
      </c>
      <c r="X53" s="99">
        <v>200</v>
      </c>
      <c r="Y53" s="99">
        <v>150</v>
      </c>
      <c r="Z53" s="99">
        <v>0.2</v>
      </c>
      <c r="AA53" s="99" t="s">
        <v>484</v>
      </c>
      <c r="AB53" s="99" t="s">
        <v>485</v>
      </c>
    </row>
    <row r="54" spans="1:28">
      <c r="U54" s="202" t="s">
        <v>14</v>
      </c>
      <c r="V54" s="99">
        <v>400</v>
      </c>
      <c r="W54" s="99">
        <v>100</v>
      </c>
      <c r="X54" s="99">
        <v>400</v>
      </c>
      <c r="Y54" s="99">
        <v>300</v>
      </c>
      <c r="Z54" s="99">
        <v>0.2</v>
      </c>
      <c r="AA54" s="99" t="s">
        <v>571</v>
      </c>
      <c r="AB54" s="99" t="s">
        <v>485</v>
      </c>
    </row>
    <row r="55" spans="1:28" ht="30">
      <c r="U55" s="202" t="s">
        <v>572</v>
      </c>
      <c r="V55" s="99">
        <v>200</v>
      </c>
      <c r="W55" s="99">
        <v>100</v>
      </c>
      <c r="X55" s="99">
        <v>200</v>
      </c>
      <c r="Y55" s="99">
        <v>150</v>
      </c>
      <c r="Z55" s="99">
        <v>0.2</v>
      </c>
      <c r="AA55" s="99" t="s">
        <v>484</v>
      </c>
      <c r="AB55" s="99" t="s">
        <v>485</v>
      </c>
    </row>
    <row r="56" spans="1:28" ht="30">
      <c r="U56" s="202" t="s">
        <v>573</v>
      </c>
      <c r="V56" s="99">
        <v>200</v>
      </c>
      <c r="W56" s="99">
        <v>100</v>
      </c>
      <c r="X56" s="99">
        <v>200</v>
      </c>
      <c r="Y56" s="99">
        <v>150</v>
      </c>
      <c r="Z56" s="99">
        <v>0.2</v>
      </c>
      <c r="AA56" s="99" t="s">
        <v>484</v>
      </c>
      <c r="AB56" s="99" t="s">
        <v>485</v>
      </c>
    </row>
    <row r="57" spans="1:28">
      <c r="U57" s="202" t="s">
        <v>574</v>
      </c>
      <c r="V57" s="99">
        <v>200</v>
      </c>
      <c r="W57" s="99">
        <v>100</v>
      </c>
      <c r="X57" s="99">
        <v>200</v>
      </c>
      <c r="Y57" s="99">
        <v>150</v>
      </c>
      <c r="Z57" s="99">
        <v>0.2</v>
      </c>
      <c r="AA57" s="99" t="s">
        <v>484</v>
      </c>
      <c r="AB57" s="99" t="s">
        <v>485</v>
      </c>
    </row>
    <row r="58" spans="1:28">
      <c r="U58" s="202" t="s">
        <v>575</v>
      </c>
      <c r="V58" s="99">
        <v>200</v>
      </c>
      <c r="W58" s="99">
        <v>100</v>
      </c>
      <c r="X58" s="99">
        <v>200</v>
      </c>
      <c r="Y58" s="99">
        <v>150</v>
      </c>
      <c r="Z58" s="99">
        <v>0.2</v>
      </c>
      <c r="AA58" s="99" t="s">
        <v>484</v>
      </c>
      <c r="AB58" s="99" t="s">
        <v>485</v>
      </c>
    </row>
    <row r="59" spans="1:28">
      <c r="U59" s="202" t="s">
        <v>576</v>
      </c>
      <c r="V59" s="99">
        <v>200</v>
      </c>
      <c r="W59" s="99">
        <v>100</v>
      </c>
      <c r="X59" s="99">
        <v>200</v>
      </c>
      <c r="Y59" s="99">
        <v>150</v>
      </c>
      <c r="Z59" s="99">
        <v>0.2</v>
      </c>
      <c r="AA59" s="99" t="s">
        <v>484</v>
      </c>
      <c r="AB59" s="99" t="s">
        <v>485</v>
      </c>
    </row>
    <row r="60" spans="1:28">
      <c r="U60" s="202" t="s">
        <v>577</v>
      </c>
      <c r="V60" s="99">
        <v>200</v>
      </c>
      <c r="W60" s="99">
        <v>100</v>
      </c>
      <c r="X60" s="99">
        <v>200</v>
      </c>
      <c r="Y60" s="99">
        <v>150</v>
      </c>
      <c r="Z60" s="99">
        <v>0.2</v>
      </c>
      <c r="AA60" s="99" t="s">
        <v>484</v>
      </c>
      <c r="AB60" s="99" t="s">
        <v>485</v>
      </c>
    </row>
    <row r="61" spans="1:28">
      <c r="U61" s="202" t="s">
        <v>578</v>
      </c>
      <c r="V61" s="99">
        <v>200</v>
      </c>
      <c r="W61" s="99">
        <v>100</v>
      </c>
      <c r="X61" s="99">
        <v>200</v>
      </c>
      <c r="Y61" s="99">
        <v>150</v>
      </c>
      <c r="Z61" s="99">
        <v>0.2</v>
      </c>
      <c r="AA61" s="99" t="s">
        <v>484</v>
      </c>
      <c r="AB61" s="99" t="s">
        <v>485</v>
      </c>
    </row>
    <row r="62" spans="1:28">
      <c r="U62" s="202" t="s">
        <v>579</v>
      </c>
      <c r="V62" s="99">
        <v>200</v>
      </c>
      <c r="W62" s="99">
        <v>100</v>
      </c>
      <c r="X62" s="99">
        <v>200</v>
      </c>
      <c r="Y62" s="99">
        <v>150</v>
      </c>
      <c r="Z62" s="99">
        <v>0.2</v>
      </c>
      <c r="AA62" s="99" t="s">
        <v>484</v>
      </c>
      <c r="AB62" s="99" t="s">
        <v>485</v>
      </c>
    </row>
    <row r="63" spans="1:28">
      <c r="U63" s="202" t="s">
        <v>580</v>
      </c>
      <c r="V63" s="99">
        <v>200</v>
      </c>
      <c r="W63" s="99">
        <v>100</v>
      </c>
      <c r="X63" s="99">
        <v>200</v>
      </c>
      <c r="Y63" s="99">
        <v>150</v>
      </c>
      <c r="Z63" s="99">
        <v>0.2</v>
      </c>
      <c r="AA63" s="99" t="s">
        <v>484</v>
      </c>
      <c r="AB63" s="99" t="s">
        <v>485</v>
      </c>
    </row>
    <row r="64" spans="1:28">
      <c r="U64" s="202" t="s">
        <v>581</v>
      </c>
      <c r="V64" s="99">
        <v>200</v>
      </c>
      <c r="W64" s="99">
        <v>100</v>
      </c>
      <c r="X64" s="99">
        <v>200</v>
      </c>
      <c r="Y64" s="99">
        <v>150</v>
      </c>
      <c r="Z64" s="99">
        <v>0.2</v>
      </c>
      <c r="AA64" s="99" t="s">
        <v>484</v>
      </c>
      <c r="AB64" s="99" t="s">
        <v>485</v>
      </c>
    </row>
    <row r="65" spans="21:28">
      <c r="U65" s="202" t="s">
        <v>582</v>
      </c>
      <c r="V65" s="99">
        <v>200</v>
      </c>
      <c r="W65" s="99">
        <v>100</v>
      </c>
      <c r="X65" s="99">
        <v>200</v>
      </c>
      <c r="Y65" s="99">
        <v>150</v>
      </c>
      <c r="Z65" s="99">
        <v>0.2</v>
      </c>
      <c r="AA65" s="99" t="s">
        <v>484</v>
      </c>
      <c r="AB65" s="99" t="s">
        <v>485</v>
      </c>
    </row>
    <row r="66" spans="21:28">
      <c r="U66" s="202" t="s">
        <v>583</v>
      </c>
      <c r="V66" s="99">
        <v>200</v>
      </c>
      <c r="W66" s="99">
        <v>100</v>
      </c>
      <c r="X66" s="99">
        <v>200</v>
      </c>
      <c r="Y66" s="99">
        <v>150</v>
      </c>
      <c r="Z66" s="99">
        <v>0.2</v>
      </c>
      <c r="AA66" s="99" t="s">
        <v>484</v>
      </c>
      <c r="AB66" s="99" t="s">
        <v>485</v>
      </c>
    </row>
    <row r="67" spans="21:28">
      <c r="U67" s="202" t="s">
        <v>584</v>
      </c>
      <c r="V67" s="99">
        <v>200</v>
      </c>
      <c r="W67" s="99">
        <v>100</v>
      </c>
      <c r="X67" s="99">
        <v>200</v>
      </c>
      <c r="Y67" s="99">
        <v>150</v>
      </c>
      <c r="Z67" s="99">
        <v>0.2</v>
      </c>
      <c r="AA67" s="99" t="s">
        <v>484</v>
      </c>
      <c r="AB67" s="99" t="s">
        <v>485</v>
      </c>
    </row>
    <row r="68" spans="21:28">
      <c r="U68" s="202" t="s">
        <v>585</v>
      </c>
      <c r="V68" s="99">
        <v>200</v>
      </c>
      <c r="W68" s="99">
        <v>100</v>
      </c>
      <c r="X68" s="99">
        <v>200</v>
      </c>
      <c r="Y68" s="99">
        <v>150</v>
      </c>
      <c r="Z68" s="99">
        <v>0.2</v>
      </c>
      <c r="AA68" s="99" t="s">
        <v>484</v>
      </c>
      <c r="AB68" s="99" t="s">
        <v>485</v>
      </c>
    </row>
    <row r="69" spans="21:28">
      <c r="U69" s="202" t="s">
        <v>586</v>
      </c>
      <c r="V69" s="99">
        <v>200</v>
      </c>
      <c r="W69" s="99">
        <v>100</v>
      </c>
      <c r="X69" s="99">
        <v>200</v>
      </c>
      <c r="Y69" s="99">
        <v>150</v>
      </c>
      <c r="Z69" s="99">
        <v>0.2</v>
      </c>
      <c r="AA69" s="99" t="s">
        <v>484</v>
      </c>
      <c r="AB69" s="99" t="s">
        <v>485</v>
      </c>
    </row>
    <row r="70" spans="21:28" ht="30">
      <c r="U70" s="202" t="s">
        <v>587</v>
      </c>
      <c r="V70" s="99">
        <v>200</v>
      </c>
      <c r="W70" s="99">
        <v>100</v>
      </c>
      <c r="X70" s="99">
        <v>200</v>
      </c>
      <c r="Y70" s="99">
        <v>150</v>
      </c>
      <c r="Z70" s="99">
        <v>0.2</v>
      </c>
      <c r="AA70" s="99" t="s">
        <v>484</v>
      </c>
      <c r="AB70" s="99" t="s">
        <v>485</v>
      </c>
    </row>
    <row r="71" spans="21:28">
      <c r="U71" s="202" t="s">
        <v>588</v>
      </c>
      <c r="V71" s="99">
        <v>200</v>
      </c>
      <c r="W71" s="99">
        <v>100</v>
      </c>
      <c r="X71" s="99">
        <v>200</v>
      </c>
      <c r="Y71" s="99">
        <v>150</v>
      </c>
      <c r="Z71" s="99">
        <v>0.2</v>
      </c>
      <c r="AA71" s="99" t="s">
        <v>484</v>
      </c>
      <c r="AB71" s="99" t="s">
        <v>485</v>
      </c>
    </row>
    <row r="72" spans="21:28" ht="30">
      <c r="U72" s="202" t="s">
        <v>589</v>
      </c>
      <c r="V72" s="99">
        <v>200</v>
      </c>
      <c r="W72" s="99">
        <v>100</v>
      </c>
      <c r="X72" s="99">
        <v>200</v>
      </c>
      <c r="Y72" s="99">
        <v>150</v>
      </c>
      <c r="Z72" s="99">
        <v>0.2</v>
      </c>
      <c r="AA72" s="99" t="s">
        <v>484</v>
      </c>
      <c r="AB72" s="99" t="s">
        <v>485</v>
      </c>
    </row>
    <row r="73" spans="21:28">
      <c r="U73" s="202" t="s">
        <v>590</v>
      </c>
      <c r="V73" s="99">
        <v>200</v>
      </c>
      <c r="W73" s="99">
        <v>100</v>
      </c>
      <c r="X73" s="99">
        <v>200</v>
      </c>
      <c r="Y73" s="99">
        <v>150</v>
      </c>
      <c r="Z73" s="99">
        <v>0.2</v>
      </c>
      <c r="AA73" s="99" t="s">
        <v>484</v>
      </c>
      <c r="AB73" s="99" t="s">
        <v>485</v>
      </c>
    </row>
    <row r="74" spans="21:28">
      <c r="U74" s="202" t="s">
        <v>591</v>
      </c>
      <c r="V74" s="99">
        <v>200</v>
      </c>
      <c r="W74" s="99">
        <v>100</v>
      </c>
      <c r="X74" s="99">
        <v>200</v>
      </c>
      <c r="Y74" s="99">
        <v>150</v>
      </c>
      <c r="Z74" s="99">
        <v>0.2</v>
      </c>
      <c r="AA74" s="99" t="s">
        <v>484</v>
      </c>
      <c r="AB74" s="99" t="s">
        <v>485</v>
      </c>
    </row>
    <row r="75" spans="21:28">
      <c r="U75" s="202" t="s">
        <v>592</v>
      </c>
      <c r="V75" s="99">
        <v>200</v>
      </c>
      <c r="W75" s="99">
        <v>100</v>
      </c>
      <c r="X75" s="99">
        <v>200</v>
      </c>
      <c r="Y75" s="99">
        <v>150</v>
      </c>
      <c r="Z75" s="99">
        <v>0.2</v>
      </c>
      <c r="AA75" s="99" t="s">
        <v>484</v>
      </c>
      <c r="AB75" s="99" t="s">
        <v>485</v>
      </c>
    </row>
    <row r="76" spans="21:28">
      <c r="U76" s="202" t="s">
        <v>593</v>
      </c>
      <c r="V76" s="99">
        <v>200</v>
      </c>
      <c r="W76" s="99">
        <v>100</v>
      </c>
      <c r="X76" s="99">
        <v>200</v>
      </c>
      <c r="Y76" s="99">
        <v>150</v>
      </c>
      <c r="Z76" s="99">
        <v>0.2</v>
      </c>
      <c r="AA76" s="99" t="s">
        <v>484</v>
      </c>
      <c r="AB76" s="99" t="s">
        <v>485</v>
      </c>
    </row>
    <row r="77" spans="21:28">
      <c r="U77" s="202" t="s">
        <v>594</v>
      </c>
      <c r="V77" s="99">
        <v>200</v>
      </c>
      <c r="W77" s="99">
        <v>100</v>
      </c>
      <c r="X77" s="99">
        <v>200</v>
      </c>
      <c r="Y77" s="99">
        <v>150</v>
      </c>
      <c r="Z77" s="99">
        <v>0.2</v>
      </c>
      <c r="AA77" s="99" t="s">
        <v>484</v>
      </c>
      <c r="AB77" s="99" t="s">
        <v>485</v>
      </c>
    </row>
    <row r="78" spans="21:28">
      <c r="U78" s="202" t="s">
        <v>595</v>
      </c>
      <c r="V78" s="99">
        <v>200</v>
      </c>
      <c r="W78" s="99">
        <v>100</v>
      </c>
      <c r="X78" s="99">
        <v>200</v>
      </c>
      <c r="Y78" s="99">
        <v>150</v>
      </c>
      <c r="Z78" s="99">
        <v>0.2</v>
      </c>
      <c r="AA78" s="99" t="s">
        <v>484</v>
      </c>
      <c r="AB78" s="99" t="s">
        <v>485</v>
      </c>
    </row>
    <row r="79" spans="21:28">
      <c r="U79" s="202" t="s">
        <v>596</v>
      </c>
      <c r="V79" s="99">
        <v>200</v>
      </c>
      <c r="W79" s="99">
        <v>100</v>
      </c>
      <c r="X79" s="99">
        <v>200</v>
      </c>
      <c r="Y79" s="99">
        <v>150</v>
      </c>
      <c r="Z79" s="99">
        <v>0.2</v>
      </c>
      <c r="AA79" s="99" t="s">
        <v>484</v>
      </c>
      <c r="AB79" s="99" t="s">
        <v>485</v>
      </c>
    </row>
    <row r="80" spans="21:28">
      <c r="U80" s="202" t="s">
        <v>597</v>
      </c>
      <c r="V80" s="99">
        <v>200</v>
      </c>
      <c r="W80" s="99">
        <v>100</v>
      </c>
      <c r="X80" s="99">
        <v>200</v>
      </c>
      <c r="Y80" s="99">
        <v>150</v>
      </c>
      <c r="Z80" s="99">
        <v>0.2</v>
      </c>
      <c r="AA80" s="99" t="s">
        <v>484</v>
      </c>
      <c r="AB80" s="99" t="s">
        <v>485</v>
      </c>
    </row>
    <row r="81" spans="21:28">
      <c r="U81" s="202" t="s">
        <v>598</v>
      </c>
      <c r="V81" s="99">
        <v>200</v>
      </c>
      <c r="W81" s="99">
        <v>100</v>
      </c>
      <c r="X81" s="99">
        <v>200</v>
      </c>
      <c r="Y81" s="99">
        <v>150</v>
      </c>
      <c r="Z81" s="99">
        <v>0.2</v>
      </c>
      <c r="AA81" s="99" t="s">
        <v>484</v>
      </c>
      <c r="AB81" s="99" t="s">
        <v>485</v>
      </c>
    </row>
    <row r="82" spans="21:28">
      <c r="U82" s="202" t="s">
        <v>599</v>
      </c>
      <c r="V82" s="99">
        <v>200</v>
      </c>
      <c r="W82" s="99">
        <v>100</v>
      </c>
      <c r="X82" s="99">
        <v>200</v>
      </c>
      <c r="Y82" s="99">
        <v>150</v>
      </c>
      <c r="Z82" s="99">
        <v>0.2</v>
      </c>
      <c r="AA82" s="99" t="s">
        <v>484</v>
      </c>
      <c r="AB82" s="99" t="s">
        <v>485</v>
      </c>
    </row>
    <row r="83" spans="21:28">
      <c r="U83" s="202" t="s">
        <v>600</v>
      </c>
      <c r="V83" s="99">
        <v>200</v>
      </c>
      <c r="W83" s="99">
        <v>100</v>
      </c>
      <c r="X83" s="99">
        <v>200</v>
      </c>
      <c r="Y83" s="99">
        <v>150</v>
      </c>
      <c r="Z83" s="99">
        <v>0.2</v>
      </c>
      <c r="AA83" s="99" t="s">
        <v>484</v>
      </c>
      <c r="AB83" s="99" t="s">
        <v>485</v>
      </c>
    </row>
    <row r="84" spans="21:28">
      <c r="U84" s="202" t="s">
        <v>601</v>
      </c>
      <c r="V84" s="99">
        <v>200</v>
      </c>
      <c r="W84" s="99">
        <v>100</v>
      </c>
      <c r="X84" s="99">
        <v>200</v>
      </c>
      <c r="Y84" s="99">
        <v>150</v>
      </c>
      <c r="Z84" s="99">
        <v>0.2</v>
      </c>
      <c r="AA84" s="99" t="s">
        <v>484</v>
      </c>
      <c r="AB84" s="99" t="s">
        <v>485</v>
      </c>
    </row>
    <row r="85" spans="21:28">
      <c r="U85" s="202" t="s">
        <v>602</v>
      </c>
      <c r="V85" s="99">
        <v>200</v>
      </c>
      <c r="W85" s="99">
        <v>100</v>
      </c>
      <c r="X85" s="99">
        <v>200</v>
      </c>
      <c r="Y85" s="99">
        <v>150</v>
      </c>
      <c r="Z85" s="99">
        <v>0.2</v>
      </c>
      <c r="AA85" s="99" t="s">
        <v>484</v>
      </c>
      <c r="AB85" s="99" t="s">
        <v>485</v>
      </c>
    </row>
    <row r="86" spans="21:28">
      <c r="U86" s="202" t="s">
        <v>603</v>
      </c>
      <c r="V86" s="99">
        <v>200</v>
      </c>
      <c r="W86" s="99">
        <v>100</v>
      </c>
      <c r="X86" s="99">
        <v>200</v>
      </c>
      <c r="Y86" s="99">
        <v>150</v>
      </c>
      <c r="Z86" s="99">
        <v>0.2</v>
      </c>
      <c r="AA86" s="99" t="s">
        <v>484</v>
      </c>
      <c r="AB86" s="99" t="s">
        <v>485</v>
      </c>
    </row>
    <row r="87" spans="21:28">
      <c r="U87" s="202" t="s">
        <v>604</v>
      </c>
      <c r="V87" s="99">
        <v>200</v>
      </c>
      <c r="W87" s="99">
        <v>100</v>
      </c>
      <c r="X87" s="99">
        <v>200</v>
      </c>
      <c r="Y87" s="99">
        <v>150</v>
      </c>
      <c r="Z87" s="99">
        <v>0.2</v>
      </c>
      <c r="AA87" s="99" t="s">
        <v>484</v>
      </c>
      <c r="AB87" s="99" t="s">
        <v>485</v>
      </c>
    </row>
    <row r="88" spans="21:28" ht="30">
      <c r="U88" s="202" t="s">
        <v>605</v>
      </c>
      <c r="V88" s="99">
        <v>200</v>
      </c>
      <c r="W88" s="99">
        <v>100</v>
      </c>
      <c r="X88" s="99">
        <v>200</v>
      </c>
      <c r="Y88" s="99">
        <v>150</v>
      </c>
      <c r="Z88" s="99">
        <v>0.2</v>
      </c>
      <c r="AA88" s="99" t="s">
        <v>484</v>
      </c>
      <c r="AB88" s="99" t="s">
        <v>485</v>
      </c>
    </row>
    <row r="89" spans="21:28">
      <c r="U89" s="202" t="s">
        <v>606</v>
      </c>
      <c r="V89" s="99">
        <v>200</v>
      </c>
      <c r="W89" s="99">
        <v>100</v>
      </c>
      <c r="X89" s="99">
        <v>200</v>
      </c>
      <c r="Y89" s="99">
        <v>150</v>
      </c>
      <c r="Z89" s="99">
        <v>0.2</v>
      </c>
      <c r="AA89" s="99" t="s">
        <v>484</v>
      </c>
      <c r="AB89" s="99" t="s">
        <v>485</v>
      </c>
    </row>
    <row r="90" spans="21:28">
      <c r="U90" s="202" t="s">
        <v>607</v>
      </c>
      <c r="V90" s="99">
        <v>200</v>
      </c>
      <c r="W90" s="99">
        <v>100</v>
      </c>
      <c r="X90" s="99">
        <v>200</v>
      </c>
      <c r="Y90" s="99">
        <v>150</v>
      </c>
      <c r="Z90" s="99">
        <v>0.2</v>
      </c>
      <c r="AA90" s="99" t="s">
        <v>484</v>
      </c>
      <c r="AB90" s="99" t="s">
        <v>485</v>
      </c>
    </row>
    <row r="91" spans="21:28">
      <c r="U91" s="202" t="s">
        <v>608</v>
      </c>
      <c r="V91" s="99">
        <v>200</v>
      </c>
      <c r="W91" s="99">
        <v>100</v>
      </c>
      <c r="X91" s="99">
        <v>200</v>
      </c>
      <c r="Y91" s="99">
        <v>150</v>
      </c>
      <c r="Z91" s="99">
        <v>0.2</v>
      </c>
      <c r="AA91" s="99" t="s">
        <v>484</v>
      </c>
      <c r="AB91" s="99" t="s">
        <v>485</v>
      </c>
    </row>
    <row r="92" spans="21:28" ht="30">
      <c r="U92" s="202" t="s">
        <v>609</v>
      </c>
      <c r="V92" s="99">
        <v>200</v>
      </c>
      <c r="W92" s="99">
        <v>100</v>
      </c>
      <c r="X92" s="99">
        <v>200</v>
      </c>
      <c r="Y92" s="99">
        <v>150</v>
      </c>
      <c r="Z92" s="99">
        <v>0.2</v>
      </c>
      <c r="AA92" s="99" t="s">
        <v>484</v>
      </c>
      <c r="AB92" s="99" t="s">
        <v>485</v>
      </c>
    </row>
    <row r="93" spans="21:28" ht="90">
      <c r="U93" s="202" t="s">
        <v>610</v>
      </c>
      <c r="V93" s="99">
        <v>200</v>
      </c>
      <c r="W93" s="99">
        <v>100</v>
      </c>
      <c r="X93" s="99">
        <v>200</v>
      </c>
      <c r="Y93" s="99">
        <v>150</v>
      </c>
      <c r="Z93" s="99">
        <v>0.2</v>
      </c>
      <c r="AA93" s="99" t="s">
        <v>484</v>
      </c>
      <c r="AB93" s="99" t="s">
        <v>485</v>
      </c>
    </row>
    <row r="94" spans="21:28">
      <c r="U94" s="202" t="s">
        <v>611</v>
      </c>
      <c r="V94" s="99">
        <v>200</v>
      </c>
      <c r="W94" s="99">
        <v>100</v>
      </c>
      <c r="X94" s="99">
        <v>200</v>
      </c>
      <c r="Y94" s="99">
        <v>150</v>
      </c>
      <c r="Z94" s="99">
        <v>0.2</v>
      </c>
      <c r="AA94" s="99" t="s">
        <v>484</v>
      </c>
      <c r="AB94" s="99" t="s">
        <v>485</v>
      </c>
    </row>
    <row r="95" spans="21:28">
      <c r="U95" s="202" t="s">
        <v>612</v>
      </c>
      <c r="V95" s="99">
        <v>200</v>
      </c>
      <c r="W95" s="99">
        <v>100</v>
      </c>
      <c r="X95" s="99">
        <v>200</v>
      </c>
      <c r="Y95" s="99">
        <v>150</v>
      </c>
      <c r="Z95" s="99">
        <v>0.2</v>
      </c>
      <c r="AA95" s="99" t="s">
        <v>484</v>
      </c>
      <c r="AB95" s="99" t="s">
        <v>485</v>
      </c>
    </row>
    <row r="96" spans="21:28">
      <c r="U96" s="202" t="s">
        <v>613</v>
      </c>
      <c r="V96" s="99">
        <v>200</v>
      </c>
      <c r="W96" s="99">
        <v>100</v>
      </c>
      <c r="X96" s="99">
        <v>200</v>
      </c>
      <c r="Y96" s="99">
        <v>150</v>
      </c>
      <c r="Z96" s="99">
        <v>0.2</v>
      </c>
      <c r="AA96" s="99" t="s">
        <v>484</v>
      </c>
      <c r="AB96" s="99" t="s">
        <v>485</v>
      </c>
    </row>
    <row r="97" spans="21:28">
      <c r="U97" s="202" t="s">
        <v>614</v>
      </c>
      <c r="V97" s="99">
        <v>200</v>
      </c>
      <c r="W97" s="99">
        <v>100</v>
      </c>
      <c r="X97" s="99">
        <v>200</v>
      </c>
      <c r="Y97" s="99">
        <v>150</v>
      </c>
      <c r="Z97" s="99">
        <v>0.2</v>
      </c>
      <c r="AA97" s="99" t="s">
        <v>484</v>
      </c>
      <c r="AB97" s="99" t="s">
        <v>485</v>
      </c>
    </row>
    <row r="98" spans="21:28">
      <c r="U98" s="202" t="s">
        <v>615</v>
      </c>
      <c r="V98" s="99">
        <v>200</v>
      </c>
      <c r="W98" s="99">
        <v>100</v>
      </c>
      <c r="X98" s="99">
        <v>200</v>
      </c>
      <c r="Y98" s="99">
        <v>150</v>
      </c>
      <c r="Z98" s="99">
        <v>0.2</v>
      </c>
      <c r="AA98" s="99" t="s">
        <v>484</v>
      </c>
      <c r="AB98" s="99" t="s">
        <v>485</v>
      </c>
    </row>
    <row r="99" spans="21:28" ht="30">
      <c r="U99" s="202" t="s">
        <v>616</v>
      </c>
      <c r="V99" s="99">
        <v>200</v>
      </c>
      <c r="W99" s="99">
        <v>100</v>
      </c>
      <c r="X99" s="99">
        <v>200</v>
      </c>
      <c r="Y99" s="99">
        <v>150</v>
      </c>
      <c r="Z99" s="99">
        <v>0.2</v>
      </c>
      <c r="AA99" s="99" t="s">
        <v>484</v>
      </c>
      <c r="AB99" s="99" t="s">
        <v>485</v>
      </c>
    </row>
    <row r="100" spans="21:28">
      <c r="U100" s="202" t="s">
        <v>617</v>
      </c>
      <c r="V100" s="99">
        <v>200</v>
      </c>
      <c r="W100" s="99">
        <v>100</v>
      </c>
      <c r="X100" s="99">
        <v>200</v>
      </c>
      <c r="Y100" s="99">
        <v>150</v>
      </c>
      <c r="Z100" s="99">
        <v>0.2</v>
      </c>
      <c r="AA100" s="99" t="s">
        <v>484</v>
      </c>
      <c r="AB100" s="99" t="s">
        <v>485</v>
      </c>
    </row>
    <row r="101" spans="21:28" ht="30">
      <c r="U101" s="202" t="s">
        <v>618</v>
      </c>
      <c r="V101" s="99">
        <v>200</v>
      </c>
      <c r="W101" s="99">
        <v>100</v>
      </c>
      <c r="X101" s="99">
        <v>200</v>
      </c>
      <c r="Y101" s="99">
        <v>150</v>
      </c>
      <c r="Z101" s="99">
        <v>0.2</v>
      </c>
      <c r="AA101" s="99" t="s">
        <v>484</v>
      </c>
      <c r="AB101" s="99" t="s">
        <v>485</v>
      </c>
    </row>
    <row r="102" spans="21:28" ht="30">
      <c r="U102" s="202" t="s">
        <v>619</v>
      </c>
      <c r="V102" s="99">
        <v>200</v>
      </c>
      <c r="W102" s="99">
        <v>100</v>
      </c>
      <c r="X102" s="99">
        <v>200</v>
      </c>
      <c r="Y102" s="99">
        <v>150</v>
      </c>
      <c r="Z102" s="99">
        <v>0.2</v>
      </c>
      <c r="AA102" s="99" t="s">
        <v>484</v>
      </c>
      <c r="AB102" s="99" t="s">
        <v>485</v>
      </c>
    </row>
    <row r="103" spans="21:28" ht="30">
      <c r="U103" s="202" t="s">
        <v>620</v>
      </c>
      <c r="V103" s="99">
        <v>200</v>
      </c>
      <c r="W103" s="99">
        <v>100</v>
      </c>
      <c r="X103" s="99">
        <v>200</v>
      </c>
      <c r="Y103" s="99">
        <v>150</v>
      </c>
      <c r="Z103" s="99">
        <v>0.2</v>
      </c>
      <c r="AA103" s="99" t="s">
        <v>484</v>
      </c>
      <c r="AB103" s="99" t="s">
        <v>485</v>
      </c>
    </row>
    <row r="104" spans="21:28">
      <c r="U104" s="202" t="s">
        <v>621</v>
      </c>
      <c r="V104" s="99">
        <v>200</v>
      </c>
      <c r="W104" s="99">
        <v>100</v>
      </c>
      <c r="X104" s="99">
        <v>200</v>
      </c>
      <c r="Y104" s="99">
        <v>150</v>
      </c>
      <c r="Z104" s="99">
        <v>0.2</v>
      </c>
      <c r="AA104" s="99" t="s">
        <v>484</v>
      </c>
      <c r="AB104" s="99" t="s">
        <v>485</v>
      </c>
    </row>
    <row r="105" spans="21:28">
      <c r="U105" s="202" t="s">
        <v>622</v>
      </c>
      <c r="V105" s="99">
        <v>200</v>
      </c>
      <c r="W105" s="99">
        <v>100</v>
      </c>
      <c r="X105" s="99">
        <v>200</v>
      </c>
      <c r="Y105" s="99">
        <v>150</v>
      </c>
      <c r="Z105" s="99">
        <v>0.2</v>
      </c>
      <c r="AA105" s="99" t="s">
        <v>484</v>
      </c>
      <c r="AB105" s="99" t="s">
        <v>485</v>
      </c>
    </row>
    <row r="106" spans="21:28">
      <c r="U106" s="202" t="s">
        <v>623</v>
      </c>
      <c r="V106" s="99">
        <v>200</v>
      </c>
      <c r="W106" s="99">
        <v>100</v>
      </c>
      <c r="X106" s="99">
        <v>200</v>
      </c>
      <c r="Y106" s="99">
        <v>150</v>
      </c>
      <c r="Z106" s="99">
        <v>0.2</v>
      </c>
      <c r="AA106" s="99" t="s">
        <v>484</v>
      </c>
      <c r="AB106" s="99" t="s">
        <v>485</v>
      </c>
    </row>
    <row r="107" spans="21:28">
      <c r="U107" s="202" t="s">
        <v>624</v>
      </c>
      <c r="V107" s="99">
        <v>200</v>
      </c>
      <c r="W107" s="99">
        <v>100</v>
      </c>
      <c r="X107" s="99">
        <v>200</v>
      </c>
      <c r="Y107" s="99">
        <v>150</v>
      </c>
      <c r="Z107" s="99">
        <v>0.2</v>
      </c>
      <c r="AA107" s="99" t="s">
        <v>484</v>
      </c>
      <c r="AB107" s="99" t="s">
        <v>485</v>
      </c>
    </row>
    <row r="108" spans="21:28">
      <c r="U108" s="202" t="s">
        <v>625</v>
      </c>
      <c r="V108" s="99">
        <v>200</v>
      </c>
      <c r="W108" s="99">
        <v>100</v>
      </c>
      <c r="X108" s="99">
        <v>200</v>
      </c>
      <c r="Y108" s="99">
        <v>150</v>
      </c>
      <c r="Z108" s="99">
        <v>0.2</v>
      </c>
      <c r="AA108" s="99" t="s">
        <v>484</v>
      </c>
      <c r="AB108" s="99" t="s">
        <v>485</v>
      </c>
    </row>
    <row r="109" spans="21:28" ht="30">
      <c r="U109" s="202" t="s">
        <v>626</v>
      </c>
      <c r="V109" s="99">
        <v>200</v>
      </c>
      <c r="W109" s="99">
        <v>100</v>
      </c>
      <c r="X109" s="99">
        <v>200</v>
      </c>
      <c r="Y109" s="99">
        <v>150</v>
      </c>
      <c r="Z109" s="99">
        <v>0.2</v>
      </c>
      <c r="AA109" s="99" t="s">
        <v>484</v>
      </c>
      <c r="AB109" s="99" t="s">
        <v>485</v>
      </c>
    </row>
    <row r="110" spans="21:28" ht="30">
      <c r="U110" s="202" t="s">
        <v>627</v>
      </c>
      <c r="V110" s="99">
        <v>200</v>
      </c>
      <c r="W110" s="99">
        <v>100</v>
      </c>
      <c r="X110" s="99">
        <v>200</v>
      </c>
      <c r="Y110" s="99">
        <v>150</v>
      </c>
      <c r="Z110" s="99">
        <v>0.2</v>
      </c>
      <c r="AA110" s="99" t="s">
        <v>484</v>
      </c>
      <c r="AB110" s="99" t="s">
        <v>485</v>
      </c>
    </row>
    <row r="111" spans="21:28">
      <c r="U111" s="202" t="s">
        <v>628</v>
      </c>
      <c r="V111" s="99">
        <v>200</v>
      </c>
      <c r="W111" s="99">
        <v>100</v>
      </c>
      <c r="X111" s="99">
        <v>200</v>
      </c>
      <c r="Y111" s="99">
        <v>150</v>
      </c>
      <c r="Z111" s="99">
        <v>0.2</v>
      </c>
      <c r="AA111" s="99" t="s">
        <v>484</v>
      </c>
      <c r="AB111" s="99" t="s">
        <v>485</v>
      </c>
    </row>
    <row r="112" spans="21:28">
      <c r="U112" s="202" t="s">
        <v>629</v>
      </c>
      <c r="V112" s="99">
        <v>200</v>
      </c>
      <c r="W112" s="99">
        <v>100</v>
      </c>
      <c r="X112" s="99">
        <v>200</v>
      </c>
      <c r="Y112" s="99">
        <v>150</v>
      </c>
      <c r="Z112" s="99">
        <v>0.2</v>
      </c>
      <c r="AA112" s="99" t="s">
        <v>484</v>
      </c>
      <c r="AB112" s="99" t="s">
        <v>485</v>
      </c>
    </row>
    <row r="113" spans="21:28" ht="75">
      <c r="U113" s="202" t="s">
        <v>630</v>
      </c>
      <c r="V113" s="99">
        <v>200</v>
      </c>
      <c r="W113" s="99">
        <v>100</v>
      </c>
      <c r="X113" s="99">
        <v>200</v>
      </c>
      <c r="Y113" s="99">
        <v>150</v>
      </c>
      <c r="Z113" s="99">
        <v>0.2</v>
      </c>
      <c r="AA113" s="99" t="s">
        <v>484</v>
      </c>
      <c r="AB113" s="99" t="s">
        <v>485</v>
      </c>
    </row>
    <row r="114" spans="21:28">
      <c r="U114" s="202" t="s">
        <v>631</v>
      </c>
      <c r="V114" s="99">
        <v>200</v>
      </c>
      <c r="W114" s="99">
        <v>100</v>
      </c>
      <c r="X114" s="99">
        <v>200</v>
      </c>
      <c r="Y114" s="99">
        <v>150</v>
      </c>
      <c r="Z114" s="99">
        <v>0.2</v>
      </c>
      <c r="AA114" s="99" t="s">
        <v>484</v>
      </c>
      <c r="AB114" s="99" t="s">
        <v>485</v>
      </c>
    </row>
    <row r="115" spans="21:28">
      <c r="U115" s="202" t="s">
        <v>632</v>
      </c>
      <c r="V115" s="99">
        <v>200</v>
      </c>
      <c r="W115" s="99">
        <v>100</v>
      </c>
      <c r="X115" s="99">
        <v>200</v>
      </c>
      <c r="Y115" s="99">
        <v>150</v>
      </c>
      <c r="Z115" s="99">
        <v>0.2</v>
      </c>
      <c r="AA115" s="99" t="s">
        <v>484</v>
      </c>
      <c r="AB115" s="99" t="s">
        <v>485</v>
      </c>
    </row>
    <row r="116" spans="21:28" ht="30">
      <c r="U116" s="202" t="s">
        <v>633</v>
      </c>
      <c r="V116" s="99">
        <v>200</v>
      </c>
      <c r="W116" s="99">
        <v>100</v>
      </c>
      <c r="X116" s="99">
        <v>200</v>
      </c>
      <c r="Y116" s="99">
        <v>150</v>
      </c>
      <c r="Z116" s="99">
        <v>0.2</v>
      </c>
      <c r="AA116" s="99" t="s">
        <v>484</v>
      </c>
      <c r="AB116" s="99" t="s">
        <v>485</v>
      </c>
    </row>
    <row r="117" spans="21:28">
      <c r="U117" s="202" t="s">
        <v>634</v>
      </c>
      <c r="V117" s="99">
        <v>200</v>
      </c>
      <c r="W117" s="99">
        <v>100</v>
      </c>
      <c r="X117" s="99">
        <v>200</v>
      </c>
      <c r="Y117" s="99">
        <v>150</v>
      </c>
      <c r="Z117" s="99">
        <v>0.2</v>
      </c>
      <c r="AA117" s="99" t="s">
        <v>484</v>
      </c>
      <c r="AB117" s="99" t="s">
        <v>485</v>
      </c>
    </row>
    <row r="118" spans="21:28" ht="30">
      <c r="U118" s="202" t="s">
        <v>635</v>
      </c>
      <c r="V118" s="99">
        <v>200</v>
      </c>
      <c r="W118" s="99">
        <v>100</v>
      </c>
      <c r="X118" s="99">
        <v>200</v>
      </c>
      <c r="Y118" s="99">
        <v>150</v>
      </c>
      <c r="Z118" s="99">
        <v>0.2</v>
      </c>
      <c r="AA118" s="99" t="s">
        <v>484</v>
      </c>
      <c r="AB118" s="99" t="s">
        <v>485</v>
      </c>
    </row>
    <row r="119" spans="21:28">
      <c r="U119" s="202" t="s">
        <v>636</v>
      </c>
      <c r="V119" s="99">
        <v>200</v>
      </c>
      <c r="W119" s="99">
        <v>100</v>
      </c>
      <c r="X119" s="99">
        <v>200</v>
      </c>
      <c r="Y119" s="99">
        <v>150</v>
      </c>
      <c r="Z119" s="99">
        <v>0.2</v>
      </c>
      <c r="AA119" s="99" t="s">
        <v>484</v>
      </c>
      <c r="AB119" s="99" t="s">
        <v>485</v>
      </c>
    </row>
    <row r="120" spans="21:28">
      <c r="U120" s="202" t="s">
        <v>637</v>
      </c>
      <c r="V120" s="99">
        <v>200</v>
      </c>
      <c r="W120" s="99">
        <v>100</v>
      </c>
      <c r="X120" s="99">
        <v>200</v>
      </c>
      <c r="Y120" s="99">
        <v>150</v>
      </c>
      <c r="Z120" s="99">
        <v>0.2</v>
      </c>
      <c r="AA120" s="99" t="s">
        <v>484</v>
      </c>
      <c r="AB120" s="99" t="s">
        <v>485</v>
      </c>
    </row>
    <row r="121" spans="21:28">
      <c r="U121" s="202" t="s">
        <v>638</v>
      </c>
      <c r="V121" s="99">
        <v>200</v>
      </c>
      <c r="W121" s="99">
        <v>100</v>
      </c>
      <c r="X121" s="99">
        <v>200</v>
      </c>
      <c r="Y121" s="99">
        <v>150</v>
      </c>
      <c r="Z121" s="99">
        <v>0.2</v>
      </c>
      <c r="AA121" s="99" t="s">
        <v>484</v>
      </c>
      <c r="AB121" s="99" t="s">
        <v>485</v>
      </c>
    </row>
    <row r="122" spans="21:28">
      <c r="U122" s="202" t="s">
        <v>639</v>
      </c>
      <c r="V122" s="99">
        <v>200</v>
      </c>
      <c r="W122" s="99">
        <v>100</v>
      </c>
      <c r="X122" s="99">
        <v>200</v>
      </c>
      <c r="Y122" s="99">
        <v>150</v>
      </c>
      <c r="Z122" s="99">
        <v>0.2</v>
      </c>
      <c r="AA122" s="99" t="s">
        <v>484</v>
      </c>
      <c r="AB122" s="99" t="s">
        <v>485</v>
      </c>
    </row>
    <row r="123" spans="21:28" ht="30">
      <c r="U123" s="202" t="s">
        <v>640</v>
      </c>
      <c r="V123" s="99">
        <v>200</v>
      </c>
      <c r="W123" s="99">
        <v>100</v>
      </c>
      <c r="X123" s="99">
        <v>200</v>
      </c>
      <c r="Y123" s="99">
        <v>150</v>
      </c>
      <c r="Z123" s="99">
        <v>0.2</v>
      </c>
      <c r="AA123" s="99" t="s">
        <v>484</v>
      </c>
      <c r="AB123" s="99" t="s">
        <v>485</v>
      </c>
    </row>
    <row r="124" spans="21:28" ht="30">
      <c r="U124" s="202" t="s">
        <v>641</v>
      </c>
      <c r="V124" s="99">
        <v>200</v>
      </c>
      <c r="W124" s="99">
        <v>100</v>
      </c>
      <c r="X124" s="99">
        <v>200</v>
      </c>
      <c r="Y124" s="99">
        <v>150</v>
      </c>
      <c r="Z124" s="99">
        <v>0.2</v>
      </c>
      <c r="AA124" s="99" t="s">
        <v>484</v>
      </c>
      <c r="AB124" s="99" t="s">
        <v>485</v>
      </c>
    </row>
    <row r="125" spans="21:28">
      <c r="U125" s="202" t="s">
        <v>642</v>
      </c>
      <c r="V125" s="99">
        <v>200</v>
      </c>
      <c r="W125" s="99">
        <v>100</v>
      </c>
      <c r="X125" s="99">
        <v>200</v>
      </c>
      <c r="Y125" s="99">
        <v>150</v>
      </c>
      <c r="Z125" s="99">
        <v>0.2</v>
      </c>
      <c r="AA125" s="99" t="s">
        <v>484</v>
      </c>
      <c r="AB125" s="99" t="s">
        <v>485</v>
      </c>
    </row>
    <row r="126" spans="21:28">
      <c r="U126" s="202" t="s">
        <v>643</v>
      </c>
      <c r="V126" s="99">
        <v>200</v>
      </c>
      <c r="W126" s="99">
        <v>100</v>
      </c>
      <c r="X126" s="99">
        <v>200</v>
      </c>
      <c r="Y126" s="99">
        <v>150</v>
      </c>
      <c r="Z126" s="99">
        <v>0.2</v>
      </c>
      <c r="AA126" s="99" t="s">
        <v>484</v>
      </c>
      <c r="AB126" s="99" t="s">
        <v>485</v>
      </c>
    </row>
    <row r="127" spans="21:28">
      <c r="U127" s="202" t="s">
        <v>644</v>
      </c>
      <c r="V127" s="99">
        <v>200</v>
      </c>
      <c r="W127" s="99">
        <v>100</v>
      </c>
      <c r="X127" s="99">
        <v>200</v>
      </c>
      <c r="Y127" s="99">
        <v>150</v>
      </c>
      <c r="Z127" s="99">
        <v>0.2</v>
      </c>
      <c r="AA127" s="99" t="s">
        <v>484</v>
      </c>
      <c r="AB127" s="99" t="s">
        <v>485</v>
      </c>
    </row>
    <row r="128" spans="21:28">
      <c r="U128" s="202" t="s">
        <v>645</v>
      </c>
      <c r="V128" s="99">
        <v>200</v>
      </c>
      <c r="W128" s="99">
        <v>100</v>
      </c>
      <c r="X128" s="99">
        <v>200</v>
      </c>
      <c r="Y128" s="99">
        <v>150</v>
      </c>
      <c r="Z128" s="99">
        <v>0.2</v>
      </c>
      <c r="AA128" s="99" t="s">
        <v>484</v>
      </c>
      <c r="AB128" s="99" t="s">
        <v>485</v>
      </c>
    </row>
    <row r="129" spans="21:28">
      <c r="U129" s="202" t="s">
        <v>646</v>
      </c>
      <c r="V129" s="99">
        <v>200</v>
      </c>
      <c r="W129" s="99">
        <v>100</v>
      </c>
      <c r="X129" s="99">
        <v>200</v>
      </c>
      <c r="Y129" s="99">
        <v>150</v>
      </c>
      <c r="Z129" s="99">
        <v>0.2</v>
      </c>
      <c r="AA129" s="99" t="s">
        <v>484</v>
      </c>
      <c r="AB129" s="99" t="s">
        <v>485</v>
      </c>
    </row>
    <row r="130" spans="21:28">
      <c r="U130" s="202" t="s">
        <v>647</v>
      </c>
      <c r="V130" s="99">
        <v>200</v>
      </c>
      <c r="W130" s="99">
        <v>100</v>
      </c>
      <c r="X130" s="99">
        <v>200</v>
      </c>
      <c r="Y130" s="99">
        <v>150</v>
      </c>
      <c r="Z130" s="99">
        <v>0.2</v>
      </c>
      <c r="AA130" s="99" t="s">
        <v>484</v>
      </c>
      <c r="AB130" s="99" t="s">
        <v>485</v>
      </c>
    </row>
    <row r="131" spans="21:28">
      <c r="U131" s="202" t="s">
        <v>648</v>
      </c>
      <c r="V131" s="99">
        <v>200</v>
      </c>
      <c r="W131" s="99">
        <v>100</v>
      </c>
      <c r="X131" s="99">
        <v>200</v>
      </c>
      <c r="Y131" s="99">
        <v>150</v>
      </c>
      <c r="Z131" s="99">
        <v>0.2</v>
      </c>
      <c r="AA131" s="99" t="s">
        <v>484</v>
      </c>
      <c r="AB131" s="99" t="s">
        <v>485</v>
      </c>
    </row>
    <row r="132" spans="21:28">
      <c r="U132" s="202" t="s">
        <v>649</v>
      </c>
      <c r="V132" s="99">
        <v>200</v>
      </c>
      <c r="W132" s="99">
        <v>100</v>
      </c>
      <c r="X132" s="99">
        <v>200</v>
      </c>
      <c r="Y132" s="99">
        <v>150</v>
      </c>
      <c r="Z132" s="99">
        <v>0.2</v>
      </c>
      <c r="AA132" s="99" t="s">
        <v>484</v>
      </c>
      <c r="AB132" s="99" t="s">
        <v>485</v>
      </c>
    </row>
    <row r="133" spans="21:28" ht="45">
      <c r="U133" s="202" t="s">
        <v>650</v>
      </c>
      <c r="V133" s="99">
        <v>200</v>
      </c>
      <c r="W133" s="99">
        <v>100</v>
      </c>
      <c r="X133" s="99">
        <v>200</v>
      </c>
      <c r="Y133" s="99">
        <v>150</v>
      </c>
      <c r="Z133" s="99">
        <v>0.2</v>
      </c>
      <c r="AA133" s="99" t="s">
        <v>484</v>
      </c>
      <c r="AB133" s="99" t="s">
        <v>485</v>
      </c>
    </row>
    <row r="134" spans="21:28">
      <c r="U134" s="202" t="s">
        <v>651</v>
      </c>
      <c r="V134" s="99">
        <v>200</v>
      </c>
      <c r="W134" s="99">
        <v>100</v>
      </c>
      <c r="X134" s="99">
        <v>200</v>
      </c>
      <c r="Y134" s="99">
        <v>150</v>
      </c>
      <c r="Z134" s="99">
        <v>0.2</v>
      </c>
      <c r="AA134" s="99" t="s">
        <v>484</v>
      </c>
      <c r="AB134" s="99" t="s">
        <v>485</v>
      </c>
    </row>
    <row r="135" spans="21:28">
      <c r="U135" s="202" t="s">
        <v>652</v>
      </c>
      <c r="V135" s="99">
        <v>200</v>
      </c>
      <c r="W135" s="99">
        <v>100</v>
      </c>
      <c r="X135" s="99">
        <v>200</v>
      </c>
      <c r="Y135" s="99">
        <v>150</v>
      </c>
      <c r="Z135" s="99">
        <v>0.2</v>
      </c>
      <c r="AA135" s="99" t="s">
        <v>484</v>
      </c>
      <c r="AB135" s="99" t="s">
        <v>485</v>
      </c>
    </row>
    <row r="136" spans="21:28" ht="30">
      <c r="U136" s="202" t="s">
        <v>653</v>
      </c>
      <c r="V136" s="99">
        <v>200</v>
      </c>
      <c r="W136" s="99">
        <v>100</v>
      </c>
      <c r="X136" s="99">
        <v>200</v>
      </c>
      <c r="Y136" s="99">
        <v>150</v>
      </c>
      <c r="Z136" s="99">
        <v>0.2</v>
      </c>
      <c r="AA136" s="99" t="s">
        <v>484</v>
      </c>
      <c r="AB136" s="99" t="s">
        <v>485</v>
      </c>
    </row>
    <row r="137" spans="21:28">
      <c r="U137" s="202" t="s">
        <v>654</v>
      </c>
      <c r="V137" s="99">
        <v>200</v>
      </c>
      <c r="W137" s="99">
        <v>100</v>
      </c>
      <c r="X137" s="99">
        <v>200</v>
      </c>
      <c r="Y137" s="99">
        <v>150</v>
      </c>
      <c r="Z137" s="99">
        <v>0.2</v>
      </c>
      <c r="AA137" s="99" t="s">
        <v>484</v>
      </c>
      <c r="AB137" s="99" t="s">
        <v>485</v>
      </c>
    </row>
    <row r="138" spans="21:28">
      <c r="U138" s="202" t="s">
        <v>655</v>
      </c>
      <c r="V138" s="99">
        <v>200</v>
      </c>
      <c r="W138" s="99">
        <v>100</v>
      </c>
      <c r="X138" s="99">
        <v>200</v>
      </c>
      <c r="Y138" s="99">
        <v>150</v>
      </c>
      <c r="Z138" s="99">
        <v>0.2</v>
      </c>
      <c r="AA138" s="99" t="s">
        <v>484</v>
      </c>
      <c r="AB138" s="99" t="s">
        <v>485</v>
      </c>
    </row>
    <row r="139" spans="21:28">
      <c r="U139" s="202" t="s">
        <v>656</v>
      </c>
      <c r="V139" s="99">
        <v>200</v>
      </c>
      <c r="W139" s="99">
        <v>100</v>
      </c>
      <c r="X139" s="99">
        <v>200</v>
      </c>
      <c r="Y139" s="99">
        <v>150</v>
      </c>
      <c r="Z139" s="99">
        <v>0.2</v>
      </c>
      <c r="AA139" s="99" t="s">
        <v>484</v>
      </c>
      <c r="AB139" s="99" t="s">
        <v>485</v>
      </c>
    </row>
    <row r="140" spans="21:28" ht="60">
      <c r="U140" s="202" t="s">
        <v>657</v>
      </c>
      <c r="V140" s="99">
        <v>200</v>
      </c>
      <c r="W140" s="99">
        <v>100</v>
      </c>
      <c r="X140" s="99">
        <v>200</v>
      </c>
      <c r="Y140" s="99">
        <v>150</v>
      </c>
      <c r="Z140" s="99">
        <v>0.2</v>
      </c>
      <c r="AA140" s="99" t="s">
        <v>484</v>
      </c>
      <c r="AB140" s="99" t="s">
        <v>485</v>
      </c>
    </row>
    <row r="141" spans="21:28" ht="45">
      <c r="U141" s="202" t="s">
        <v>658</v>
      </c>
      <c r="V141" s="99">
        <v>200</v>
      </c>
      <c r="W141" s="99">
        <v>100</v>
      </c>
      <c r="X141" s="99">
        <v>200</v>
      </c>
      <c r="Y141" s="99">
        <v>150</v>
      </c>
      <c r="Z141" s="99">
        <v>0.2</v>
      </c>
      <c r="AA141" s="99" t="s">
        <v>484</v>
      </c>
      <c r="AB141" s="99" t="s">
        <v>485</v>
      </c>
    </row>
    <row r="142" spans="21:28">
      <c r="U142" s="202" t="s">
        <v>659</v>
      </c>
      <c r="V142" s="99">
        <v>200</v>
      </c>
      <c r="W142" s="99">
        <v>100</v>
      </c>
      <c r="X142" s="99">
        <v>200</v>
      </c>
      <c r="Y142" s="99">
        <v>150</v>
      </c>
      <c r="Z142" s="99">
        <v>0.2</v>
      </c>
      <c r="AA142" s="99" t="s">
        <v>484</v>
      </c>
      <c r="AB142" s="99" t="s">
        <v>485</v>
      </c>
    </row>
    <row r="143" spans="21:28" ht="45">
      <c r="U143" s="202" t="s">
        <v>660</v>
      </c>
      <c r="V143" s="99">
        <v>200</v>
      </c>
      <c r="W143" s="99">
        <v>100</v>
      </c>
      <c r="X143" s="99">
        <v>200</v>
      </c>
      <c r="Y143" s="99">
        <v>150</v>
      </c>
      <c r="Z143" s="99">
        <v>0.2</v>
      </c>
      <c r="AA143" s="99" t="s">
        <v>484</v>
      </c>
      <c r="AB143" s="99" t="s">
        <v>485</v>
      </c>
    </row>
    <row r="144" spans="21:28">
      <c r="U144" s="202" t="s">
        <v>661</v>
      </c>
      <c r="V144" s="99">
        <v>200</v>
      </c>
      <c r="W144" s="99">
        <v>100</v>
      </c>
      <c r="X144" s="99">
        <v>200</v>
      </c>
      <c r="Y144" s="99">
        <v>150</v>
      </c>
      <c r="Z144" s="99">
        <v>0.2</v>
      </c>
      <c r="AA144" s="99" t="s">
        <v>484</v>
      </c>
      <c r="AB144" s="99" t="s">
        <v>485</v>
      </c>
    </row>
    <row r="145" spans="21:28" ht="45">
      <c r="U145" s="202" t="s">
        <v>662</v>
      </c>
      <c r="V145" s="99">
        <v>200</v>
      </c>
      <c r="W145" s="99">
        <v>100</v>
      </c>
      <c r="X145" s="99">
        <v>200</v>
      </c>
      <c r="Y145" s="99">
        <v>150</v>
      </c>
      <c r="Z145" s="99">
        <v>0.2</v>
      </c>
      <c r="AA145" s="99" t="s">
        <v>484</v>
      </c>
      <c r="AB145" s="99" t="s">
        <v>485</v>
      </c>
    </row>
    <row r="146" spans="21:28" ht="30">
      <c r="U146" s="202" t="s">
        <v>663</v>
      </c>
      <c r="V146" s="99">
        <v>200</v>
      </c>
      <c r="W146" s="99">
        <v>100</v>
      </c>
      <c r="X146" s="99">
        <v>200</v>
      </c>
      <c r="Y146" s="99">
        <v>150</v>
      </c>
      <c r="Z146" s="99">
        <v>0.2</v>
      </c>
      <c r="AA146" s="99" t="s">
        <v>484</v>
      </c>
      <c r="AB146" s="99" t="s">
        <v>485</v>
      </c>
    </row>
    <row r="147" spans="21:28" ht="75">
      <c r="U147" s="202" t="s">
        <v>664</v>
      </c>
      <c r="V147" s="99">
        <v>200</v>
      </c>
      <c r="W147" s="99">
        <v>100</v>
      </c>
      <c r="X147" s="99">
        <v>200</v>
      </c>
      <c r="Y147" s="99">
        <v>150</v>
      </c>
      <c r="Z147" s="99">
        <v>0.2</v>
      </c>
      <c r="AA147" s="99" t="s">
        <v>484</v>
      </c>
      <c r="AB147" s="99" t="s">
        <v>485</v>
      </c>
    </row>
    <row r="148" spans="21:28">
      <c r="U148" s="202" t="s">
        <v>665</v>
      </c>
      <c r="V148" s="99">
        <v>200</v>
      </c>
      <c r="W148" s="99">
        <v>100</v>
      </c>
      <c r="X148" s="99">
        <v>200</v>
      </c>
      <c r="Y148" s="99">
        <v>150</v>
      </c>
      <c r="Z148" s="99">
        <v>0.2</v>
      </c>
      <c r="AA148" s="99" t="s">
        <v>484</v>
      </c>
      <c r="AB148" s="99" t="s">
        <v>485</v>
      </c>
    </row>
    <row r="149" spans="21:28" ht="30">
      <c r="U149" s="202" t="s">
        <v>666</v>
      </c>
      <c r="V149" s="99">
        <v>200</v>
      </c>
      <c r="W149" s="99">
        <v>100</v>
      </c>
      <c r="X149" s="99">
        <v>200</v>
      </c>
      <c r="Y149" s="99">
        <v>150</v>
      </c>
      <c r="Z149" s="99">
        <v>0.2</v>
      </c>
      <c r="AA149" s="99" t="s">
        <v>484</v>
      </c>
      <c r="AB149" s="99" t="s">
        <v>485</v>
      </c>
    </row>
    <row r="150" spans="21:28" ht="45">
      <c r="U150" s="202" t="s">
        <v>667</v>
      </c>
      <c r="V150" s="99">
        <v>200</v>
      </c>
      <c r="W150" s="99">
        <v>100</v>
      </c>
      <c r="X150" s="99">
        <v>200</v>
      </c>
      <c r="Y150" s="99">
        <v>150</v>
      </c>
      <c r="Z150" s="99">
        <v>0.2</v>
      </c>
      <c r="AA150" s="99" t="s">
        <v>484</v>
      </c>
      <c r="AB150" s="99" t="s">
        <v>485</v>
      </c>
    </row>
    <row r="151" spans="21:28" ht="30">
      <c r="U151" s="202" t="s">
        <v>668</v>
      </c>
      <c r="V151" s="99">
        <v>200</v>
      </c>
      <c r="W151" s="99">
        <v>100</v>
      </c>
      <c r="X151" s="99">
        <v>200</v>
      </c>
      <c r="Y151" s="99">
        <v>150</v>
      </c>
      <c r="Z151" s="99">
        <v>0.2</v>
      </c>
      <c r="AA151" s="99" t="s">
        <v>484</v>
      </c>
      <c r="AB151" s="99" t="s">
        <v>485</v>
      </c>
    </row>
    <row r="152" spans="21:28">
      <c r="U152" s="202" t="s">
        <v>669</v>
      </c>
      <c r="V152" s="99">
        <v>200</v>
      </c>
      <c r="W152" s="99">
        <v>100</v>
      </c>
      <c r="X152" s="99">
        <v>200</v>
      </c>
      <c r="Y152" s="99">
        <v>150</v>
      </c>
      <c r="Z152" s="99">
        <v>0.2</v>
      </c>
      <c r="AA152" s="99" t="s">
        <v>484</v>
      </c>
      <c r="AB152" s="99" t="s">
        <v>485</v>
      </c>
    </row>
    <row r="153" spans="21:28">
      <c r="U153" s="202" t="s">
        <v>670</v>
      </c>
      <c r="V153" s="99">
        <v>200</v>
      </c>
      <c r="W153" s="99">
        <v>100</v>
      </c>
      <c r="X153" s="99">
        <v>200</v>
      </c>
      <c r="Y153" s="99">
        <v>150</v>
      </c>
      <c r="Z153" s="99">
        <v>0.2</v>
      </c>
      <c r="AA153" s="99" t="s">
        <v>484</v>
      </c>
      <c r="AB153" s="99" t="s">
        <v>485</v>
      </c>
    </row>
    <row r="154" spans="21:28" ht="30">
      <c r="U154" s="202" t="s">
        <v>671</v>
      </c>
      <c r="V154" s="99">
        <v>200</v>
      </c>
      <c r="W154" s="99">
        <v>100</v>
      </c>
      <c r="X154" s="99">
        <v>200</v>
      </c>
      <c r="Y154" s="99">
        <v>150</v>
      </c>
      <c r="Z154" s="99">
        <v>0.2</v>
      </c>
      <c r="AA154" s="99" t="s">
        <v>484</v>
      </c>
      <c r="AB154" s="99" t="s">
        <v>485</v>
      </c>
    </row>
    <row r="155" spans="21:28" ht="30">
      <c r="U155" s="202" t="s">
        <v>672</v>
      </c>
      <c r="V155" s="99">
        <v>200</v>
      </c>
      <c r="W155" s="99">
        <v>100</v>
      </c>
      <c r="X155" s="99">
        <v>200</v>
      </c>
      <c r="Y155" s="99">
        <v>150</v>
      </c>
      <c r="Z155" s="99">
        <v>0.2</v>
      </c>
      <c r="AA155" s="99" t="s">
        <v>484</v>
      </c>
      <c r="AB155" s="99" t="s">
        <v>485</v>
      </c>
    </row>
    <row r="156" spans="21:28">
      <c r="U156" s="202" t="s">
        <v>673</v>
      </c>
      <c r="V156" s="99">
        <v>200</v>
      </c>
      <c r="W156" s="99">
        <v>100</v>
      </c>
      <c r="X156" s="99">
        <v>200</v>
      </c>
      <c r="Y156" s="99">
        <v>150</v>
      </c>
      <c r="Z156" s="99">
        <v>0.2</v>
      </c>
      <c r="AA156" s="99" t="s">
        <v>484</v>
      </c>
      <c r="AB156" s="99" t="s">
        <v>485</v>
      </c>
    </row>
    <row r="157" spans="21:28">
      <c r="U157" s="202" t="s">
        <v>674</v>
      </c>
      <c r="V157" s="99">
        <v>200</v>
      </c>
      <c r="W157" s="99">
        <v>100</v>
      </c>
      <c r="X157" s="99">
        <v>200</v>
      </c>
      <c r="Y157" s="99">
        <v>150</v>
      </c>
      <c r="Z157" s="99">
        <v>0.2</v>
      </c>
      <c r="AA157" s="99" t="s">
        <v>484</v>
      </c>
      <c r="AB157" s="99" t="s">
        <v>485</v>
      </c>
    </row>
    <row r="158" spans="21:28">
      <c r="U158" s="202" t="s">
        <v>675</v>
      </c>
      <c r="V158" s="99">
        <v>200</v>
      </c>
      <c r="W158" s="99">
        <v>100</v>
      </c>
      <c r="X158" s="99">
        <v>200</v>
      </c>
      <c r="Y158" s="99">
        <v>150</v>
      </c>
      <c r="Z158" s="99">
        <v>0.2</v>
      </c>
      <c r="AA158" s="99" t="s">
        <v>484</v>
      </c>
      <c r="AB158" s="99" t="s">
        <v>485</v>
      </c>
    </row>
    <row r="159" spans="21:28" ht="30">
      <c r="U159" s="202" t="s">
        <v>676</v>
      </c>
      <c r="V159" s="99">
        <v>200</v>
      </c>
      <c r="W159" s="99">
        <v>100</v>
      </c>
      <c r="X159" s="99">
        <v>200</v>
      </c>
      <c r="Y159" s="99">
        <v>150</v>
      </c>
      <c r="Z159" s="99">
        <v>0.2</v>
      </c>
      <c r="AA159" s="99" t="s">
        <v>484</v>
      </c>
      <c r="AB159" s="99" t="s">
        <v>485</v>
      </c>
    </row>
    <row r="160" spans="21:28">
      <c r="U160" s="202" t="s">
        <v>677</v>
      </c>
      <c r="V160" s="99">
        <v>200</v>
      </c>
      <c r="W160" s="99">
        <v>100</v>
      </c>
      <c r="X160" s="99">
        <v>200</v>
      </c>
      <c r="Y160" s="99">
        <v>150</v>
      </c>
      <c r="Z160" s="99">
        <v>0.2</v>
      </c>
      <c r="AA160" s="99" t="s">
        <v>484</v>
      </c>
      <c r="AB160" s="99" t="s">
        <v>485</v>
      </c>
    </row>
    <row r="161" spans="21:28" ht="30">
      <c r="U161" s="202" t="s">
        <v>678</v>
      </c>
      <c r="V161" s="99">
        <v>200</v>
      </c>
      <c r="W161" s="99">
        <v>100</v>
      </c>
      <c r="X161" s="99">
        <v>200</v>
      </c>
      <c r="Y161" s="99">
        <v>150</v>
      </c>
      <c r="Z161" s="99">
        <v>0.2</v>
      </c>
      <c r="AA161" s="99" t="s">
        <v>484</v>
      </c>
      <c r="AB161" s="99" t="s">
        <v>485</v>
      </c>
    </row>
    <row r="162" spans="21:28" ht="30">
      <c r="U162" s="202" t="s">
        <v>679</v>
      </c>
      <c r="V162" s="99">
        <v>200</v>
      </c>
      <c r="W162" s="99">
        <v>100</v>
      </c>
      <c r="X162" s="99">
        <v>200</v>
      </c>
      <c r="Y162" s="99">
        <v>150</v>
      </c>
      <c r="Z162" s="99">
        <v>0.2</v>
      </c>
      <c r="AA162" s="99" t="s">
        <v>484</v>
      </c>
      <c r="AB162" s="99" t="s">
        <v>485</v>
      </c>
    </row>
    <row r="163" spans="21:28">
      <c r="U163" s="202" t="s">
        <v>680</v>
      </c>
      <c r="V163" s="99">
        <v>200</v>
      </c>
      <c r="W163" s="99">
        <v>100</v>
      </c>
      <c r="X163" s="99">
        <v>200</v>
      </c>
      <c r="Y163" s="99">
        <v>150</v>
      </c>
      <c r="Z163" s="99">
        <v>0.2</v>
      </c>
      <c r="AA163" s="99" t="s">
        <v>484</v>
      </c>
      <c r="AB163" s="99" t="s">
        <v>485</v>
      </c>
    </row>
    <row r="164" spans="21:28">
      <c r="U164" s="202" t="s">
        <v>681</v>
      </c>
      <c r="V164" s="99">
        <v>200</v>
      </c>
      <c r="W164" s="99">
        <v>100</v>
      </c>
      <c r="X164" s="99">
        <v>200</v>
      </c>
      <c r="Y164" s="99">
        <v>150</v>
      </c>
      <c r="Z164" s="99">
        <v>0.2</v>
      </c>
      <c r="AA164" s="99" t="s">
        <v>484</v>
      </c>
      <c r="AB164" s="99" t="s">
        <v>485</v>
      </c>
    </row>
    <row r="165" spans="21:28">
      <c r="U165" s="202" t="s">
        <v>682</v>
      </c>
      <c r="V165" s="99">
        <v>200</v>
      </c>
      <c r="W165" s="99">
        <v>100</v>
      </c>
      <c r="X165" s="99">
        <v>200</v>
      </c>
      <c r="Y165" s="99">
        <v>150</v>
      </c>
      <c r="Z165" s="99">
        <v>0.2</v>
      </c>
      <c r="AA165" s="99" t="s">
        <v>484</v>
      </c>
      <c r="AB165" s="99" t="s">
        <v>485</v>
      </c>
    </row>
    <row r="166" spans="21:28">
      <c r="U166" s="202" t="s">
        <v>683</v>
      </c>
      <c r="V166" s="99">
        <v>200</v>
      </c>
      <c r="W166" s="99">
        <v>100</v>
      </c>
      <c r="X166" s="99">
        <v>200</v>
      </c>
      <c r="Y166" s="99">
        <v>150</v>
      </c>
      <c r="Z166" s="99">
        <v>0.2</v>
      </c>
      <c r="AA166" s="99" t="s">
        <v>484</v>
      </c>
      <c r="AB166" s="99" t="s">
        <v>485</v>
      </c>
    </row>
    <row r="167" spans="21:28">
      <c r="U167" s="202" t="s">
        <v>684</v>
      </c>
      <c r="V167" s="99">
        <v>200</v>
      </c>
      <c r="W167" s="99">
        <v>100</v>
      </c>
      <c r="X167" s="99">
        <v>200</v>
      </c>
      <c r="Y167" s="99">
        <v>150</v>
      </c>
      <c r="Z167" s="99">
        <v>0.2</v>
      </c>
      <c r="AA167" s="99" t="s">
        <v>484</v>
      </c>
      <c r="AB167" s="99" t="s">
        <v>485</v>
      </c>
    </row>
    <row r="168" spans="21:28">
      <c r="U168" s="202" t="s">
        <v>685</v>
      </c>
      <c r="V168" s="99">
        <v>200</v>
      </c>
      <c r="W168" s="99">
        <v>100</v>
      </c>
      <c r="X168" s="99">
        <v>200</v>
      </c>
      <c r="Y168" s="99">
        <v>150</v>
      </c>
      <c r="Z168" s="99">
        <v>0.2</v>
      </c>
      <c r="AA168" s="99" t="s">
        <v>484</v>
      </c>
      <c r="AB168" s="99" t="s">
        <v>485</v>
      </c>
    </row>
    <row r="169" spans="21:28" ht="30">
      <c r="U169" s="202" t="s">
        <v>686</v>
      </c>
      <c r="V169" s="99">
        <v>200</v>
      </c>
      <c r="W169" s="99">
        <v>100</v>
      </c>
      <c r="X169" s="99">
        <v>200</v>
      </c>
      <c r="Y169" s="99">
        <v>150</v>
      </c>
      <c r="Z169" s="99">
        <v>0.2</v>
      </c>
      <c r="AA169" s="99" t="s">
        <v>484</v>
      </c>
      <c r="AB169" s="99" t="s">
        <v>485</v>
      </c>
    </row>
    <row r="170" spans="21:28" ht="45">
      <c r="U170" s="202" t="s">
        <v>687</v>
      </c>
      <c r="V170" s="99">
        <v>200</v>
      </c>
      <c r="W170" s="99">
        <v>100</v>
      </c>
      <c r="X170" s="99">
        <v>200</v>
      </c>
      <c r="Y170" s="99">
        <v>150</v>
      </c>
      <c r="Z170" s="99">
        <v>0.2</v>
      </c>
      <c r="AA170" s="99" t="s">
        <v>484</v>
      </c>
      <c r="AB170" s="99" t="s">
        <v>485</v>
      </c>
    </row>
    <row r="171" spans="21:28">
      <c r="U171" s="202" t="s">
        <v>688</v>
      </c>
      <c r="V171" s="99">
        <v>200</v>
      </c>
      <c r="W171" s="99">
        <v>100</v>
      </c>
      <c r="X171" s="99">
        <v>200</v>
      </c>
      <c r="Y171" s="99">
        <v>150</v>
      </c>
      <c r="Z171" s="99">
        <v>0.2</v>
      </c>
      <c r="AA171" s="99" t="s">
        <v>484</v>
      </c>
      <c r="AB171" s="99" t="s">
        <v>485</v>
      </c>
    </row>
    <row r="172" spans="21:28">
      <c r="U172" s="202" t="s">
        <v>689</v>
      </c>
      <c r="V172" s="99">
        <v>200</v>
      </c>
      <c r="W172" s="99">
        <v>100</v>
      </c>
      <c r="X172" s="99">
        <v>200</v>
      </c>
      <c r="Y172" s="99">
        <v>150</v>
      </c>
      <c r="Z172" s="99">
        <v>0.2</v>
      </c>
      <c r="AA172" s="99" t="s">
        <v>484</v>
      </c>
      <c r="AB172" s="99" t="s">
        <v>485</v>
      </c>
    </row>
    <row r="173" spans="21:28" ht="30">
      <c r="U173" s="202" t="s">
        <v>690</v>
      </c>
      <c r="V173" s="99">
        <v>200</v>
      </c>
      <c r="W173" s="99">
        <v>100</v>
      </c>
      <c r="X173" s="99">
        <v>200</v>
      </c>
      <c r="Y173" s="99">
        <v>150</v>
      </c>
      <c r="Z173" s="99">
        <v>0.2</v>
      </c>
      <c r="AA173" s="99" t="s">
        <v>484</v>
      </c>
      <c r="AB173" s="99" t="s">
        <v>485</v>
      </c>
    </row>
    <row r="174" spans="21:28">
      <c r="U174" s="202" t="s">
        <v>691</v>
      </c>
      <c r="V174" s="99">
        <v>200</v>
      </c>
      <c r="W174" s="99">
        <v>100</v>
      </c>
      <c r="X174" s="99">
        <v>200</v>
      </c>
      <c r="Y174" s="99">
        <v>150</v>
      </c>
      <c r="Z174" s="99">
        <v>0.2</v>
      </c>
      <c r="AA174" s="99" t="s">
        <v>484</v>
      </c>
      <c r="AB174" s="99" t="s">
        <v>485</v>
      </c>
    </row>
    <row r="175" spans="21:28">
      <c r="U175" s="202" t="s">
        <v>692</v>
      </c>
      <c r="V175" s="99">
        <v>200</v>
      </c>
      <c r="W175" s="99">
        <v>100</v>
      </c>
      <c r="X175" s="99">
        <v>200</v>
      </c>
      <c r="Y175" s="99">
        <v>150</v>
      </c>
      <c r="Z175" s="99">
        <v>0.2</v>
      </c>
      <c r="AA175" s="99" t="s">
        <v>484</v>
      </c>
      <c r="AB175" s="99" t="s">
        <v>485</v>
      </c>
    </row>
    <row r="176" spans="21:28" ht="45">
      <c r="U176" s="202" t="s">
        <v>693</v>
      </c>
      <c r="V176" s="99">
        <v>200</v>
      </c>
      <c r="W176" s="99">
        <v>100</v>
      </c>
      <c r="X176" s="99">
        <v>200</v>
      </c>
      <c r="Y176" s="99">
        <v>150</v>
      </c>
      <c r="Z176" s="99">
        <v>0.2</v>
      </c>
      <c r="AA176" s="99" t="s">
        <v>484</v>
      </c>
      <c r="AB176" s="99" t="s">
        <v>485</v>
      </c>
    </row>
    <row r="177" spans="21:28">
      <c r="U177" s="202" t="s">
        <v>694</v>
      </c>
      <c r="V177" s="99">
        <v>200</v>
      </c>
      <c r="W177" s="99">
        <v>100</v>
      </c>
      <c r="X177" s="99">
        <v>200</v>
      </c>
      <c r="Y177" s="99">
        <v>150</v>
      </c>
      <c r="Z177" s="99">
        <v>0.2</v>
      </c>
      <c r="AA177" s="99" t="s">
        <v>484</v>
      </c>
      <c r="AB177" s="99" t="s">
        <v>485</v>
      </c>
    </row>
    <row r="178" spans="21:28">
      <c r="U178" s="202" t="s">
        <v>695</v>
      </c>
      <c r="V178" s="99">
        <v>200</v>
      </c>
      <c r="W178" s="99">
        <v>100</v>
      </c>
      <c r="X178" s="99">
        <v>200</v>
      </c>
      <c r="Y178" s="99">
        <v>150</v>
      </c>
      <c r="Z178" s="99">
        <v>0.2</v>
      </c>
      <c r="AA178" s="99" t="s">
        <v>484</v>
      </c>
      <c r="AB178" s="99" t="s">
        <v>485</v>
      </c>
    </row>
    <row r="179" spans="21:28" ht="30">
      <c r="U179" s="202" t="s">
        <v>696</v>
      </c>
      <c r="V179" s="99">
        <v>200</v>
      </c>
      <c r="W179" s="99">
        <v>100</v>
      </c>
      <c r="X179" s="99">
        <v>200</v>
      </c>
      <c r="Y179" s="99">
        <v>150</v>
      </c>
      <c r="Z179" s="99">
        <v>0.2</v>
      </c>
      <c r="AA179" s="99" t="s">
        <v>484</v>
      </c>
      <c r="AB179" s="99" t="s">
        <v>485</v>
      </c>
    </row>
    <row r="180" spans="21:28">
      <c r="U180" s="202" t="s">
        <v>697</v>
      </c>
      <c r="V180" s="99">
        <v>200</v>
      </c>
      <c r="W180" s="99">
        <v>100</v>
      </c>
      <c r="X180" s="99">
        <v>200</v>
      </c>
      <c r="Y180" s="99">
        <v>150</v>
      </c>
      <c r="Z180" s="99">
        <v>0.2</v>
      </c>
      <c r="AA180" s="99" t="s">
        <v>484</v>
      </c>
      <c r="AB180" s="99" t="s">
        <v>485</v>
      </c>
    </row>
    <row r="181" spans="21:28">
      <c r="U181" s="202" t="s">
        <v>698</v>
      </c>
      <c r="V181" s="99">
        <v>200</v>
      </c>
      <c r="W181" s="99">
        <v>100</v>
      </c>
      <c r="X181" s="99">
        <v>200</v>
      </c>
      <c r="Y181" s="99">
        <v>150</v>
      </c>
      <c r="Z181" s="99">
        <v>0.2</v>
      </c>
      <c r="AA181" s="99" t="s">
        <v>484</v>
      </c>
      <c r="AB181" s="99" t="s">
        <v>485</v>
      </c>
    </row>
    <row r="182" spans="21:28">
      <c r="U182" s="202" t="s">
        <v>699</v>
      </c>
      <c r="V182" s="99">
        <v>200</v>
      </c>
      <c r="W182" s="99">
        <v>100</v>
      </c>
      <c r="X182" s="99">
        <v>200</v>
      </c>
      <c r="Y182" s="99">
        <v>150</v>
      </c>
      <c r="Z182" s="99">
        <v>0.2</v>
      </c>
      <c r="AA182" s="99" t="s">
        <v>484</v>
      </c>
      <c r="AB182" s="99" t="s">
        <v>485</v>
      </c>
    </row>
    <row r="183" spans="21:28" ht="45">
      <c r="U183" s="202" t="s">
        <v>700</v>
      </c>
      <c r="V183" s="99">
        <v>200</v>
      </c>
      <c r="W183" s="99">
        <v>100</v>
      </c>
      <c r="X183" s="99">
        <v>200</v>
      </c>
      <c r="Y183" s="99">
        <v>150</v>
      </c>
      <c r="Z183" s="99">
        <v>0.2</v>
      </c>
      <c r="AA183" s="99" t="s">
        <v>484</v>
      </c>
      <c r="AB183" s="99" t="s">
        <v>485</v>
      </c>
    </row>
    <row r="184" spans="21:28" ht="105">
      <c r="U184" s="202" t="s">
        <v>701</v>
      </c>
      <c r="V184" s="99">
        <v>200</v>
      </c>
      <c r="W184" s="99">
        <v>100</v>
      </c>
      <c r="X184" s="99">
        <v>200</v>
      </c>
      <c r="Y184" s="99">
        <v>150</v>
      </c>
      <c r="Z184" s="99">
        <v>0.2</v>
      </c>
      <c r="AA184" s="99" t="s">
        <v>484</v>
      </c>
      <c r="AB184" s="99" t="s">
        <v>485</v>
      </c>
    </row>
    <row r="185" spans="21:28" ht="60">
      <c r="U185" s="202" t="s">
        <v>702</v>
      </c>
      <c r="V185" s="99">
        <v>200</v>
      </c>
      <c r="W185" s="99">
        <v>100</v>
      </c>
      <c r="X185" s="99">
        <v>200</v>
      </c>
      <c r="Y185" s="99">
        <v>150</v>
      </c>
      <c r="Z185" s="99">
        <v>0.2</v>
      </c>
      <c r="AA185" s="99" t="s">
        <v>484</v>
      </c>
      <c r="AB185" s="99" t="s">
        <v>485</v>
      </c>
    </row>
    <row r="186" spans="21:28" ht="45">
      <c r="U186" s="202" t="s">
        <v>703</v>
      </c>
      <c r="V186" s="99">
        <v>200</v>
      </c>
      <c r="W186" s="99">
        <v>100</v>
      </c>
      <c r="X186" s="99">
        <v>200</v>
      </c>
      <c r="Y186" s="99">
        <v>150</v>
      </c>
      <c r="Z186" s="99">
        <v>0.2</v>
      </c>
      <c r="AA186" s="99" t="s">
        <v>484</v>
      </c>
      <c r="AB186" s="99" t="s">
        <v>485</v>
      </c>
    </row>
    <row r="187" spans="21:28">
      <c r="U187" s="202" t="s">
        <v>704</v>
      </c>
      <c r="V187" s="99">
        <v>200</v>
      </c>
      <c r="W187" s="99">
        <v>100</v>
      </c>
      <c r="X187" s="99">
        <v>200</v>
      </c>
      <c r="Y187" s="99">
        <v>150</v>
      </c>
      <c r="Z187" s="99">
        <v>0.2</v>
      </c>
      <c r="AA187" s="99" t="s">
        <v>484</v>
      </c>
      <c r="AB187" s="99" t="s">
        <v>485</v>
      </c>
    </row>
    <row r="188" spans="21:28" ht="30">
      <c r="U188" s="202" t="s">
        <v>705</v>
      </c>
      <c r="V188" s="99">
        <v>200</v>
      </c>
      <c r="W188" s="99">
        <v>100</v>
      </c>
      <c r="X188" s="99">
        <v>200</v>
      </c>
      <c r="Y188" s="99">
        <v>150</v>
      </c>
      <c r="Z188" s="99">
        <v>0.2</v>
      </c>
      <c r="AA188" s="99" t="s">
        <v>484</v>
      </c>
      <c r="AB188" s="99" t="s">
        <v>485</v>
      </c>
    </row>
    <row r="189" spans="21:28">
      <c r="U189" s="202" t="s">
        <v>706</v>
      </c>
      <c r="V189" s="99">
        <v>200</v>
      </c>
      <c r="W189" s="99">
        <v>100</v>
      </c>
      <c r="X189" s="99">
        <v>200</v>
      </c>
      <c r="Y189" s="99">
        <v>150</v>
      </c>
      <c r="Z189" s="99">
        <v>0.2</v>
      </c>
      <c r="AA189" s="99" t="s">
        <v>484</v>
      </c>
      <c r="AB189" s="99" t="s">
        <v>485</v>
      </c>
    </row>
    <row r="190" spans="21:28" ht="30">
      <c r="U190" s="202" t="s">
        <v>707</v>
      </c>
      <c r="V190" s="99">
        <v>200</v>
      </c>
      <c r="W190" s="99">
        <v>100</v>
      </c>
      <c r="X190" s="99">
        <v>200</v>
      </c>
      <c r="Y190" s="99">
        <v>150</v>
      </c>
      <c r="Z190" s="99">
        <v>0.2</v>
      </c>
      <c r="AA190" s="99" t="s">
        <v>484</v>
      </c>
      <c r="AB190" s="99" t="s">
        <v>485</v>
      </c>
    </row>
    <row r="191" spans="21:28">
      <c r="U191" s="202" t="s">
        <v>708</v>
      </c>
      <c r="V191" s="99">
        <v>200</v>
      </c>
      <c r="W191" s="99">
        <v>100</v>
      </c>
      <c r="X191" s="99">
        <v>200</v>
      </c>
      <c r="Y191" s="99">
        <v>150</v>
      </c>
      <c r="Z191" s="99">
        <v>0.2</v>
      </c>
      <c r="AA191" s="99" t="s">
        <v>484</v>
      </c>
      <c r="AB191" s="99" t="s">
        <v>485</v>
      </c>
    </row>
    <row r="192" spans="21:28">
      <c r="U192" s="202" t="s">
        <v>709</v>
      </c>
      <c r="V192" s="99">
        <v>200</v>
      </c>
      <c r="W192" s="99">
        <v>100</v>
      </c>
      <c r="X192" s="99">
        <v>200</v>
      </c>
      <c r="Y192" s="99">
        <v>150</v>
      </c>
      <c r="Z192" s="99">
        <v>0.2</v>
      </c>
      <c r="AA192" s="99" t="s">
        <v>484</v>
      </c>
      <c r="AB192" s="99" t="s">
        <v>485</v>
      </c>
    </row>
    <row r="193" spans="21:28">
      <c r="U193" s="202" t="s">
        <v>710</v>
      </c>
      <c r="V193" s="99">
        <v>200</v>
      </c>
      <c r="W193" s="99">
        <v>100</v>
      </c>
      <c r="X193" s="99">
        <v>200</v>
      </c>
      <c r="Y193" s="99">
        <v>150</v>
      </c>
      <c r="Z193" s="99">
        <v>0.2</v>
      </c>
      <c r="AA193" s="99" t="s">
        <v>484</v>
      </c>
      <c r="AB193" s="99" t="s">
        <v>485</v>
      </c>
    </row>
    <row r="194" spans="21:28" ht="30">
      <c r="U194" s="202" t="s">
        <v>711</v>
      </c>
      <c r="V194" s="99">
        <v>200</v>
      </c>
      <c r="W194" s="99">
        <v>100</v>
      </c>
      <c r="X194" s="99">
        <v>200</v>
      </c>
      <c r="Y194" s="99">
        <v>150</v>
      </c>
      <c r="Z194" s="99">
        <v>0.2</v>
      </c>
      <c r="AA194" s="99" t="s">
        <v>484</v>
      </c>
      <c r="AB194" s="99" t="s">
        <v>485</v>
      </c>
    </row>
    <row r="227" spans="19:20" s="202" customFormat="1" ht="150">
      <c r="S227" s="205" t="s">
        <v>241</v>
      </c>
      <c r="T227" s="99" t="s">
        <v>712</v>
      </c>
    </row>
    <row r="228" spans="19:20" s="202" customFormat="1" ht="105">
      <c r="S228" s="205" t="s">
        <v>713</v>
      </c>
      <c r="T228" s="99" t="s">
        <v>714</v>
      </c>
    </row>
  </sheetData>
  <sheetProtection algorithmName="SHA-512" hashValue="NQFo/CmiEjAcDGjqWpRMlTFgyCNZMvyws2lIxkMjPWohdwdAhNEM4ovIamGCyxBTR3Ure1tgH03EGGlgJePRdA==" saltValue="e6CU+Jt29GiaP7zkoPPyyA==" spinCount="100000" sheet="1" objects="1" scenarios="1"/>
  <pageMargins left="0.7" right="0.7" top="0.75" bottom="0.75" header="0.3" footer="0.3"/>
  <pageSetup paperSize="9" orientation="portrait" verticalDpi="300" r:id="rId1"/>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B228"/>
  <sheetViews>
    <sheetView workbookViewId="0">
      <selection activeCell="J15" sqref="J15"/>
    </sheetView>
  </sheetViews>
  <sheetFormatPr defaultColWidth="9" defaultRowHeight="15"/>
  <cols>
    <col min="1" max="1" width="9.42578125" style="99" customWidth="1"/>
    <col min="2" max="12" width="9" style="99"/>
    <col min="13" max="13" width="31.42578125" style="99" customWidth="1"/>
    <col min="14" max="20" width="9" style="99"/>
    <col min="21" max="21" width="10.140625" style="202" customWidth="1"/>
    <col min="22" max="16384" width="9" style="99"/>
  </cols>
  <sheetData>
    <row r="1" spans="1:28" ht="45">
      <c r="A1" s="99" t="s">
        <v>464</v>
      </c>
      <c r="B1" s="99" t="s">
        <v>465</v>
      </c>
      <c r="C1" s="99" t="s">
        <v>466</v>
      </c>
      <c r="D1" s="99" t="s">
        <v>467</v>
      </c>
      <c r="E1" s="99" t="s">
        <v>468</v>
      </c>
      <c r="F1" s="99" t="s">
        <v>469</v>
      </c>
      <c r="G1" s="99" t="s">
        <v>470</v>
      </c>
      <c r="H1" s="99" t="s">
        <v>471</v>
      </c>
      <c r="I1" s="99" t="s">
        <v>472</v>
      </c>
      <c r="K1" s="99" t="s">
        <v>473</v>
      </c>
      <c r="L1" s="99" t="s">
        <v>474</v>
      </c>
      <c r="M1" s="99" t="s">
        <v>475</v>
      </c>
      <c r="U1" s="198" t="s">
        <v>13</v>
      </c>
      <c r="V1" s="199" t="s">
        <v>476</v>
      </c>
      <c r="W1" s="199" t="s">
        <v>477</v>
      </c>
      <c r="X1" s="199" t="s">
        <v>478</v>
      </c>
      <c r="Y1" s="199" t="s">
        <v>479</v>
      </c>
      <c r="Z1" s="199" t="s">
        <v>480</v>
      </c>
      <c r="AA1" s="199" t="s">
        <v>481</v>
      </c>
      <c r="AB1" s="199" t="s">
        <v>482</v>
      </c>
    </row>
    <row r="2" spans="1:28" ht="30">
      <c r="A2" s="200" t="str">
        <f>IF('5-ATJIF-02'!I25&gt;=1,IF('5-ATJIF-02'!I25&lt;=5,'5-ATJIF-02'!I25," ")," ")</f>
        <v xml:space="preserve"> </v>
      </c>
      <c r="B2" s="201">
        <v>1.25</v>
      </c>
      <c r="C2" s="201">
        <v>2.5</v>
      </c>
      <c r="D2" s="201">
        <v>0</v>
      </c>
      <c r="E2" s="201">
        <v>0.25</v>
      </c>
      <c r="F2" s="201">
        <v>0.25</v>
      </c>
      <c r="G2" s="201">
        <v>0</v>
      </c>
      <c r="H2" s="201">
        <v>0</v>
      </c>
      <c r="I2" s="201">
        <v>0.5</v>
      </c>
      <c r="K2" s="201" t="str">
        <f>IF('5-ATJIF-02'!I25&gt;=1,IF('5-ATJIF-02'!I25&lt;=19,'5-ATJIF-02'!I25," ")," ")</f>
        <v xml:space="preserve"> </v>
      </c>
      <c r="L2" s="201">
        <v>1</v>
      </c>
      <c r="M2" s="201">
        <v>0</v>
      </c>
      <c r="U2" s="202" t="s">
        <v>483</v>
      </c>
      <c r="V2" s="99">
        <v>200</v>
      </c>
      <c r="W2" s="99">
        <v>100</v>
      </c>
      <c r="X2" s="99">
        <v>200</v>
      </c>
      <c r="Y2" s="99">
        <v>150</v>
      </c>
      <c r="Z2" s="99">
        <v>0.2</v>
      </c>
      <c r="AA2" s="99" t="s">
        <v>484</v>
      </c>
      <c r="AB2" s="99" t="s">
        <v>485</v>
      </c>
    </row>
    <row r="3" spans="1:28">
      <c r="A3" s="200" t="str">
        <f>IF('5-ATJIF-02'!I25&gt;=6,IF('5-ATJIF-02'!I25&lt;=10,'5-ATJIF-02'!I25," ")," ")</f>
        <v xml:space="preserve"> </v>
      </c>
      <c r="B3" s="201">
        <v>1.75</v>
      </c>
      <c r="C3" s="201">
        <v>3</v>
      </c>
      <c r="D3" s="201">
        <v>0</v>
      </c>
      <c r="E3" s="201">
        <v>0.25</v>
      </c>
      <c r="F3" s="201">
        <v>0.25</v>
      </c>
      <c r="G3" s="201">
        <v>0</v>
      </c>
      <c r="H3" s="201">
        <v>0</v>
      </c>
      <c r="I3" s="201">
        <v>0.5</v>
      </c>
      <c r="K3" s="201" t="str">
        <f>IF('5-ATJIF-02'!I25&gt;=20,IF('5-ATJIF-02'!I25&lt;=49,'5-ATJIF-02'!I25," ")," ")</f>
        <v xml:space="preserve"> </v>
      </c>
      <c r="L3" s="201">
        <v>1</v>
      </c>
      <c r="M3" s="201">
        <v>0.5</v>
      </c>
      <c r="Q3" s="99" t="s">
        <v>486</v>
      </c>
      <c r="R3" s="99" t="s">
        <v>487</v>
      </c>
      <c r="U3" s="202" t="s">
        <v>488</v>
      </c>
      <c r="V3" s="99">
        <v>200</v>
      </c>
      <c r="W3" s="99">
        <v>100</v>
      </c>
      <c r="X3" s="99">
        <v>200</v>
      </c>
      <c r="Y3" s="99">
        <v>150</v>
      </c>
      <c r="Z3" s="99">
        <v>0.2</v>
      </c>
      <c r="AA3" s="99" t="s">
        <v>484</v>
      </c>
      <c r="AB3" s="99" t="s">
        <v>485</v>
      </c>
    </row>
    <row r="4" spans="1:28">
      <c r="A4" s="200" t="str">
        <f>IF('5-ATJIF-02'!I25&gt;=11,IF('5-ATJIF-02'!I25&lt;=15,'5-ATJIF-02'!I25," ")," ")</f>
        <v xml:space="preserve"> </v>
      </c>
      <c r="B4" s="201">
        <v>2.25</v>
      </c>
      <c r="C4" s="201">
        <v>3</v>
      </c>
      <c r="D4" s="201">
        <v>0</v>
      </c>
      <c r="E4" s="201">
        <v>0.25</v>
      </c>
      <c r="F4" s="201">
        <v>0.25</v>
      </c>
      <c r="G4" s="201">
        <v>0</v>
      </c>
      <c r="H4" s="201">
        <v>0.5</v>
      </c>
      <c r="I4" s="201">
        <v>1.5</v>
      </c>
      <c r="K4" s="201" t="str">
        <f>IF('5-ATJIF-02'!I25&gt;=50,IF('5-ATJIF-02'!I25&lt;=79,'5-ATJIF-02'!I25," ")," ")</f>
        <v xml:space="preserve"> </v>
      </c>
      <c r="L4" s="201">
        <v>1</v>
      </c>
      <c r="M4" s="201">
        <v>1</v>
      </c>
      <c r="Q4" s="99" t="s">
        <v>43</v>
      </c>
      <c r="R4" s="99">
        <v>0</v>
      </c>
      <c r="U4" s="202" t="s">
        <v>489</v>
      </c>
      <c r="V4" s="99">
        <v>200</v>
      </c>
      <c r="W4" s="99">
        <v>100</v>
      </c>
      <c r="X4" s="99">
        <v>200</v>
      </c>
      <c r="Y4" s="99">
        <v>150</v>
      </c>
      <c r="Z4" s="99">
        <v>0.2</v>
      </c>
      <c r="AA4" s="99" t="s">
        <v>484</v>
      </c>
      <c r="AB4" s="99" t="s">
        <v>485</v>
      </c>
    </row>
    <row r="5" spans="1:28">
      <c r="A5" s="200" t="str">
        <f>IF('5-ATJIF-02'!I25&gt;=16,IF('5-ATJIF-02'!I25&lt;=25,'5-ATJIF-02'!I25," ")," ")</f>
        <v xml:space="preserve"> </v>
      </c>
      <c r="B5" s="201">
        <v>2.75</v>
      </c>
      <c r="C5" s="201">
        <v>3.5</v>
      </c>
      <c r="D5" s="201">
        <v>0</v>
      </c>
      <c r="E5" s="201">
        <v>0.25</v>
      </c>
      <c r="F5" s="201">
        <v>0.25</v>
      </c>
      <c r="G5" s="201">
        <v>0</v>
      </c>
      <c r="H5" s="201">
        <v>1</v>
      </c>
      <c r="I5" s="201">
        <v>2</v>
      </c>
      <c r="K5" s="201" t="str">
        <f>IF('5-ATJIF-02'!I25&gt;=80,IF('5-ATJIF-02'!I25&lt;=199,'5-ATJIF-02'!I25," ")," ")</f>
        <v xml:space="preserve"> </v>
      </c>
      <c r="L5" s="201">
        <v>1</v>
      </c>
      <c r="M5" s="201">
        <v>1.5</v>
      </c>
      <c r="Q5" s="99" t="s">
        <v>21</v>
      </c>
      <c r="R5" s="99">
        <v>0.25</v>
      </c>
      <c r="U5" s="202" t="s">
        <v>490</v>
      </c>
      <c r="V5" s="99">
        <v>200</v>
      </c>
      <c r="W5" s="99">
        <v>100</v>
      </c>
      <c r="X5" s="99">
        <v>200</v>
      </c>
      <c r="Y5" s="99">
        <v>150</v>
      </c>
      <c r="Z5" s="99">
        <v>0.2</v>
      </c>
      <c r="AA5" s="99" t="s">
        <v>484</v>
      </c>
      <c r="AB5" s="99" t="s">
        <v>485</v>
      </c>
    </row>
    <row r="6" spans="1:28">
      <c r="A6" s="200" t="str">
        <f>IF('5-ATJIF-02'!I25&gt;=26,IF('5-ATJIF-02'!I25&lt;=45,'5-ATJIF-02'!I25," ")," ")</f>
        <v xml:space="preserve"> </v>
      </c>
      <c r="B6" s="201">
        <v>3.75</v>
      </c>
      <c r="C6" s="201">
        <v>4</v>
      </c>
      <c r="D6" s="201">
        <v>0</v>
      </c>
      <c r="E6" s="201">
        <v>0.25</v>
      </c>
      <c r="F6" s="201">
        <v>0.25</v>
      </c>
      <c r="G6" s="201">
        <v>0</v>
      </c>
      <c r="H6" s="201">
        <v>1.5</v>
      </c>
      <c r="I6" s="201">
        <v>3</v>
      </c>
      <c r="K6" s="201" t="str">
        <f>IF('5-ATJIF-02'!I25&gt;=200,IF('5-ATJIF-02'!I25&lt;=499,'5-ATJIF-02'!I25," ")," ")</f>
        <v xml:space="preserve"> </v>
      </c>
      <c r="L6" s="201">
        <v>1</v>
      </c>
      <c r="M6" s="201">
        <v>2</v>
      </c>
      <c r="U6" s="202" t="s">
        <v>491</v>
      </c>
      <c r="V6" s="99">
        <v>200</v>
      </c>
      <c r="W6" s="99">
        <v>100</v>
      </c>
      <c r="X6" s="99">
        <v>200</v>
      </c>
      <c r="Y6" s="99">
        <v>150</v>
      </c>
      <c r="Z6" s="99">
        <v>0.2</v>
      </c>
      <c r="AA6" s="99" t="s">
        <v>484</v>
      </c>
      <c r="AB6" s="99" t="s">
        <v>485</v>
      </c>
    </row>
    <row r="7" spans="1:28" ht="45">
      <c r="A7" s="200" t="str">
        <f>IF('5-ATJIF-02'!I25&gt;=46,IF('5-ATJIF-02'!I25&lt;=65,'5-ATJIF-02'!I25," ")," ")</f>
        <v xml:space="preserve"> </v>
      </c>
      <c r="B7" s="201">
        <v>4.75</v>
      </c>
      <c r="C7" s="201">
        <v>4.5</v>
      </c>
      <c r="D7" s="201">
        <v>0</v>
      </c>
      <c r="E7" s="201">
        <v>0.25</v>
      </c>
      <c r="F7" s="201">
        <v>0.25</v>
      </c>
      <c r="G7" s="201">
        <v>0</v>
      </c>
      <c r="H7" s="201">
        <v>1.5</v>
      </c>
      <c r="I7" s="201">
        <v>3.5</v>
      </c>
      <c r="K7" s="201" t="str">
        <f>IF('5-ATJIF-02'!I25&gt;=500,IF('5-ATJIF-02'!I25&lt;=899,'5-ATJIF-02'!I25," ")," ")</f>
        <v xml:space="preserve"> </v>
      </c>
      <c r="L7" s="201">
        <v>1</v>
      </c>
      <c r="M7" s="201">
        <v>2.5</v>
      </c>
      <c r="U7" s="202" t="s">
        <v>492</v>
      </c>
      <c r="V7" s="99">
        <v>200</v>
      </c>
      <c r="W7" s="99">
        <v>100</v>
      </c>
      <c r="X7" s="99">
        <v>200</v>
      </c>
      <c r="Y7" s="99">
        <v>150</v>
      </c>
      <c r="Z7" s="99">
        <v>0.2</v>
      </c>
      <c r="AA7" s="99" t="s">
        <v>484</v>
      </c>
      <c r="AB7" s="99" t="s">
        <v>485</v>
      </c>
    </row>
    <row r="8" spans="1:28">
      <c r="A8" s="200" t="str">
        <f>IF('5-ATJIF-02'!I25&gt;=66,IF('5-ATJIF-02'!I25&lt;=85,'5-ATJIF-02'!I25," ")," ")</f>
        <v xml:space="preserve"> </v>
      </c>
      <c r="B8" s="201">
        <v>5.75</v>
      </c>
      <c r="C8" s="201">
        <v>5</v>
      </c>
      <c r="D8" s="201">
        <v>0</v>
      </c>
      <c r="E8" s="201">
        <v>0.25</v>
      </c>
      <c r="F8" s="201">
        <v>0.25</v>
      </c>
      <c r="G8" s="201">
        <v>0</v>
      </c>
      <c r="H8" s="201">
        <v>2</v>
      </c>
      <c r="I8" s="201">
        <v>4</v>
      </c>
      <c r="U8" s="202" t="s">
        <v>493</v>
      </c>
      <c r="V8" s="99">
        <v>200</v>
      </c>
      <c r="W8" s="99">
        <v>100</v>
      </c>
      <c r="X8" s="99">
        <v>200</v>
      </c>
      <c r="Y8" s="99">
        <v>150</v>
      </c>
      <c r="Z8" s="99">
        <v>0.2</v>
      </c>
      <c r="AA8" s="99" t="s">
        <v>484</v>
      </c>
      <c r="AB8" s="99" t="s">
        <v>485</v>
      </c>
    </row>
    <row r="9" spans="1:28">
      <c r="A9" s="200" t="str">
        <f>IF('5-ATJIF-02'!I25&gt;=86,IF('5-ATJIF-02'!I25&lt;=125,'5-ATJIF-02'!I25," ")," ")</f>
        <v xml:space="preserve"> </v>
      </c>
      <c r="B9" s="201">
        <v>6.75</v>
      </c>
      <c r="C9" s="201">
        <v>5.5</v>
      </c>
      <c r="D9" s="201">
        <v>0</v>
      </c>
      <c r="E9" s="201">
        <v>0.25</v>
      </c>
      <c r="F9" s="201">
        <v>0.25</v>
      </c>
      <c r="G9" s="201">
        <v>0</v>
      </c>
      <c r="H9" s="201">
        <v>2.5</v>
      </c>
      <c r="I9" s="201">
        <v>4.5</v>
      </c>
      <c r="U9" s="202" t="s">
        <v>494</v>
      </c>
      <c r="V9" s="99">
        <v>200</v>
      </c>
      <c r="W9" s="99">
        <v>100</v>
      </c>
      <c r="X9" s="99">
        <v>200</v>
      </c>
      <c r="Y9" s="99">
        <v>150</v>
      </c>
      <c r="Z9" s="99">
        <v>0.2</v>
      </c>
      <c r="AA9" s="99" t="s">
        <v>484</v>
      </c>
      <c r="AB9" s="99" t="s">
        <v>485</v>
      </c>
    </row>
    <row r="10" spans="1:28">
      <c r="A10" s="200" t="str">
        <f>IF('5-ATJIF-02'!I25&gt;=126,IF('5-ATJIF-02'!I25&lt;=175,'5-ATJIF-02'!I25," ")," ")</f>
        <v xml:space="preserve"> </v>
      </c>
      <c r="B10" s="201">
        <v>7.75</v>
      </c>
      <c r="C10" s="201">
        <v>6</v>
      </c>
      <c r="D10" s="201">
        <v>0</v>
      </c>
      <c r="E10" s="201">
        <v>0.25</v>
      </c>
      <c r="F10" s="201">
        <v>0.25</v>
      </c>
      <c r="G10" s="201">
        <v>0</v>
      </c>
      <c r="H10" s="201">
        <v>3</v>
      </c>
      <c r="I10" s="201">
        <v>6</v>
      </c>
      <c r="U10" s="202" t="s">
        <v>495</v>
      </c>
      <c r="V10" s="99">
        <v>200</v>
      </c>
      <c r="W10" s="99">
        <v>100</v>
      </c>
      <c r="X10" s="99">
        <v>200</v>
      </c>
      <c r="Y10" s="99">
        <v>150</v>
      </c>
      <c r="Z10" s="99">
        <v>0.2</v>
      </c>
      <c r="AA10" s="99" t="s">
        <v>484</v>
      </c>
      <c r="AB10" s="99" t="s">
        <v>485</v>
      </c>
    </row>
    <row r="11" spans="1:28">
      <c r="A11" s="200" t="str">
        <f>IF('5-ATJIF-02'!I25&gt;=176,IF('5-ATJIF-02'!I25&lt;=275,'5-ATJIF-02'!I25," ")," ")</f>
        <v xml:space="preserve"> </v>
      </c>
      <c r="B11" s="201">
        <v>8.75</v>
      </c>
      <c r="C11" s="201">
        <v>7</v>
      </c>
      <c r="D11" s="201">
        <v>0</v>
      </c>
      <c r="E11" s="201">
        <v>0.25</v>
      </c>
      <c r="F11" s="201">
        <v>0.25</v>
      </c>
      <c r="G11" s="201">
        <v>0</v>
      </c>
      <c r="H11" s="201">
        <v>3</v>
      </c>
      <c r="I11" s="201">
        <v>6</v>
      </c>
      <c r="U11" s="202" t="s">
        <v>496</v>
      </c>
      <c r="V11" s="99">
        <v>200</v>
      </c>
      <c r="W11" s="99">
        <v>100</v>
      </c>
      <c r="X11" s="99">
        <v>200</v>
      </c>
      <c r="Y11" s="99">
        <v>150</v>
      </c>
      <c r="Z11" s="99">
        <v>0.2</v>
      </c>
      <c r="AA11" s="99" t="s">
        <v>484</v>
      </c>
      <c r="AB11" s="99" t="s">
        <v>485</v>
      </c>
    </row>
    <row r="12" spans="1:28" ht="30">
      <c r="A12" s="200" t="str">
        <f>IF('5-ATJIF-02'!I25&gt;=276,IF('5-ATJIF-02'!I25&lt;=425,'5-ATJIF-02'!I25," ")," ")</f>
        <v xml:space="preserve"> </v>
      </c>
      <c r="B12" s="201">
        <v>9.75</v>
      </c>
      <c r="C12" s="201">
        <v>8</v>
      </c>
      <c r="D12" s="201">
        <v>0</v>
      </c>
      <c r="E12" s="201">
        <v>0.25</v>
      </c>
      <c r="F12" s="201">
        <v>0.25</v>
      </c>
      <c r="G12" s="201">
        <v>0</v>
      </c>
      <c r="H12" s="201">
        <v>3</v>
      </c>
      <c r="I12" s="201">
        <v>7</v>
      </c>
      <c r="U12" s="202" t="s">
        <v>497</v>
      </c>
      <c r="V12" s="99">
        <v>200</v>
      </c>
      <c r="W12" s="99">
        <v>100</v>
      </c>
      <c r="X12" s="99">
        <v>200</v>
      </c>
      <c r="Y12" s="99">
        <v>150</v>
      </c>
      <c r="Z12" s="99">
        <v>0.2</v>
      </c>
      <c r="AA12" s="99" t="s">
        <v>484</v>
      </c>
      <c r="AB12" s="99" t="s">
        <v>485</v>
      </c>
    </row>
    <row r="13" spans="1:28">
      <c r="A13" s="200" t="str">
        <f>IF('5-ATJIF-02'!I25&gt;=426,IF('5-ATJIF-02'!I25&lt;=625,'5-ATJIF-02'!I25," ")," ")</f>
        <v xml:space="preserve"> </v>
      </c>
      <c r="B13" s="201">
        <v>10.75</v>
      </c>
      <c r="C13" s="201">
        <v>9</v>
      </c>
      <c r="D13" s="203">
        <v>0</v>
      </c>
      <c r="E13" s="201">
        <v>0.25</v>
      </c>
      <c r="F13" s="203">
        <v>0.25</v>
      </c>
      <c r="G13" s="201">
        <v>0</v>
      </c>
      <c r="H13" s="201">
        <v>3</v>
      </c>
      <c r="I13" s="201">
        <v>7</v>
      </c>
      <c r="U13" s="202" t="s">
        <v>498</v>
      </c>
      <c r="V13" s="99">
        <v>200</v>
      </c>
      <c r="W13" s="99">
        <v>100</v>
      </c>
      <c r="X13" s="99">
        <v>200</v>
      </c>
      <c r="Y13" s="99">
        <v>150</v>
      </c>
      <c r="Z13" s="99">
        <v>0.2</v>
      </c>
      <c r="AA13" s="99" t="s">
        <v>484</v>
      </c>
      <c r="AB13" s="99" t="s">
        <v>485</v>
      </c>
    </row>
    <row r="14" spans="1:28">
      <c r="A14" s="200" t="str">
        <f>IF('5-ATJIF-02'!I25&gt;=626,IF('5-ATJIF-02'!I25&lt;=875,'5-ATJIF-02'!I25," ")," ")</f>
        <v xml:space="preserve"> </v>
      </c>
      <c r="B14" s="201">
        <v>11.75</v>
      </c>
      <c r="C14" s="201">
        <v>10</v>
      </c>
      <c r="D14" s="203">
        <v>0</v>
      </c>
      <c r="E14" s="201">
        <v>0.25</v>
      </c>
      <c r="F14" s="203">
        <v>0.25</v>
      </c>
      <c r="G14" s="201">
        <v>0</v>
      </c>
      <c r="H14" s="201">
        <v>3</v>
      </c>
      <c r="I14" s="201">
        <v>7</v>
      </c>
      <c r="U14" s="202" t="s">
        <v>499</v>
      </c>
      <c r="V14" s="99">
        <v>200</v>
      </c>
      <c r="W14" s="99">
        <v>100</v>
      </c>
      <c r="X14" s="99">
        <v>200</v>
      </c>
      <c r="Y14" s="99">
        <v>150</v>
      </c>
      <c r="Z14" s="99">
        <v>0.2</v>
      </c>
      <c r="AA14" s="99" t="s">
        <v>484</v>
      </c>
      <c r="AB14" s="99" t="s">
        <v>485</v>
      </c>
    </row>
    <row r="15" spans="1:28" ht="30">
      <c r="A15" s="200" t="str">
        <f>IF('5-ATJIF-02'!I25&gt;=876,IF('5-ATJIF-02'!I25&lt;=1175,'5-ATJIF-02'!I25," ")," ")</f>
        <v xml:space="preserve"> </v>
      </c>
      <c r="B15" s="201">
        <v>12.75</v>
      </c>
      <c r="C15" s="201">
        <v>11</v>
      </c>
      <c r="D15" s="203">
        <v>0</v>
      </c>
      <c r="E15" s="201">
        <v>0.25</v>
      </c>
      <c r="F15" s="203">
        <v>0.25</v>
      </c>
      <c r="G15" s="201">
        <v>0</v>
      </c>
      <c r="H15" s="201">
        <v>4</v>
      </c>
      <c r="I15" s="201">
        <v>8</v>
      </c>
      <c r="U15" s="202" t="s">
        <v>500</v>
      </c>
      <c r="V15" s="99">
        <v>200</v>
      </c>
      <c r="W15" s="99">
        <v>100</v>
      </c>
      <c r="X15" s="99">
        <v>200</v>
      </c>
      <c r="Y15" s="99">
        <v>150</v>
      </c>
      <c r="Z15" s="99">
        <v>0.2</v>
      </c>
      <c r="AA15" s="99" t="s">
        <v>484</v>
      </c>
      <c r="AB15" s="99" t="s">
        <v>485</v>
      </c>
    </row>
    <row r="16" spans="1:28">
      <c r="A16" s="200" t="str">
        <f>IF('5-ATJIF-02'!I25&gt;=1176,IF('5-ATJIF-02'!I25&lt;=1550,'5-ATJIF-02'!I25," ")," ")</f>
        <v xml:space="preserve"> </v>
      </c>
      <c r="B16" s="201">
        <v>13.75</v>
      </c>
      <c r="C16" s="201">
        <v>12</v>
      </c>
      <c r="D16" s="203">
        <v>0</v>
      </c>
      <c r="E16" s="201">
        <v>0.25</v>
      </c>
      <c r="F16" s="203">
        <v>0.25</v>
      </c>
      <c r="G16" s="201">
        <v>0</v>
      </c>
      <c r="H16" s="201">
        <v>4</v>
      </c>
      <c r="I16" s="201">
        <v>8</v>
      </c>
      <c r="P16" s="99" t="s">
        <v>501</v>
      </c>
      <c r="R16" s="99" t="s">
        <v>501</v>
      </c>
      <c r="U16" s="202" t="s">
        <v>502</v>
      </c>
      <c r="V16" s="99">
        <v>200</v>
      </c>
      <c r="W16" s="99">
        <v>100</v>
      </c>
      <c r="X16" s="99">
        <v>200</v>
      </c>
      <c r="Y16" s="99">
        <v>150</v>
      </c>
      <c r="Z16" s="99">
        <v>0.2</v>
      </c>
      <c r="AA16" s="99" t="s">
        <v>484</v>
      </c>
      <c r="AB16" s="99" t="s">
        <v>485</v>
      </c>
    </row>
    <row r="17" spans="1:28">
      <c r="A17" s="200" t="str">
        <f>IF('5-ATJIF-02'!I25&gt;=1551,IF('5-ATJIF-02'!I25&lt;=2025,'5-ATJIF-02'!I25," ")," ")</f>
        <v xml:space="preserve"> </v>
      </c>
      <c r="B17" s="201">
        <v>14.75</v>
      </c>
      <c r="C17" s="201">
        <v>12</v>
      </c>
      <c r="D17" s="203">
        <v>0</v>
      </c>
      <c r="E17" s="201">
        <v>0.25</v>
      </c>
      <c r="F17" s="203">
        <v>0.25</v>
      </c>
      <c r="G17" s="201">
        <v>0</v>
      </c>
      <c r="H17" s="201">
        <v>5</v>
      </c>
      <c r="I17" s="201">
        <v>9</v>
      </c>
      <c r="P17" s="99" t="s">
        <v>385</v>
      </c>
      <c r="R17" s="99" t="s">
        <v>385</v>
      </c>
      <c r="U17" s="202" t="s">
        <v>503</v>
      </c>
      <c r="V17" s="99">
        <v>200</v>
      </c>
      <c r="W17" s="99">
        <v>100</v>
      </c>
      <c r="X17" s="99">
        <v>200</v>
      </c>
      <c r="Y17" s="99">
        <v>150</v>
      </c>
      <c r="Z17" s="99">
        <v>0.2</v>
      </c>
      <c r="AA17" s="99" t="s">
        <v>484</v>
      </c>
      <c r="AB17" s="99" t="s">
        <v>485</v>
      </c>
    </row>
    <row r="18" spans="1:28">
      <c r="A18" s="200" t="str">
        <f>IF('5-ATJIF-02'!I25&gt;=2026,IF('5-ATJIF-02'!I25&lt;=2675,'5-ATJIF-02'!I25," ")," ")</f>
        <v xml:space="preserve"> </v>
      </c>
      <c r="B18" s="201">
        <v>15.75</v>
      </c>
      <c r="C18" s="201">
        <v>13</v>
      </c>
      <c r="D18" s="203">
        <v>0</v>
      </c>
      <c r="E18" s="201">
        <v>0.25</v>
      </c>
      <c r="F18" s="203">
        <v>0.25</v>
      </c>
      <c r="G18" s="201">
        <v>0</v>
      </c>
      <c r="H18" s="201">
        <v>5</v>
      </c>
      <c r="I18" s="201">
        <v>10</v>
      </c>
      <c r="M18" s="99" t="s">
        <v>439</v>
      </c>
      <c r="P18" s="99" t="s">
        <v>504</v>
      </c>
      <c r="R18" s="99" t="s">
        <v>505</v>
      </c>
      <c r="U18" s="202" t="s">
        <v>506</v>
      </c>
      <c r="V18" s="99">
        <v>200</v>
      </c>
      <c r="W18" s="99">
        <v>100</v>
      </c>
      <c r="X18" s="99">
        <v>200</v>
      </c>
      <c r="Y18" s="99">
        <v>150</v>
      </c>
      <c r="Z18" s="99">
        <v>0.2</v>
      </c>
      <c r="AA18" s="99" t="s">
        <v>484</v>
      </c>
      <c r="AB18" s="99" t="s">
        <v>485</v>
      </c>
    </row>
    <row r="19" spans="1:28">
      <c r="A19" s="200" t="str">
        <f>IF('5-ATJIF-02'!I25&gt;=2676,IF('5-ATJIF-02'!I25&lt;=3450,'5-ATJIF-02'!I25," ")," ")</f>
        <v xml:space="preserve"> </v>
      </c>
      <c r="B19" s="201">
        <v>16.75</v>
      </c>
      <c r="C19" s="201">
        <v>14</v>
      </c>
      <c r="D19" s="203">
        <v>0</v>
      </c>
      <c r="E19" s="201">
        <v>0.25</v>
      </c>
      <c r="F19" s="203">
        <v>0.25</v>
      </c>
      <c r="G19" s="201">
        <v>0</v>
      </c>
      <c r="H19" s="201">
        <v>5</v>
      </c>
      <c r="I19" s="201">
        <v>11</v>
      </c>
      <c r="M19" s="99" t="s">
        <v>507</v>
      </c>
      <c r="P19" s="99" t="s">
        <v>508</v>
      </c>
      <c r="R19" s="99" t="s">
        <v>504</v>
      </c>
      <c r="U19" s="202" t="s">
        <v>509</v>
      </c>
      <c r="V19" s="99">
        <v>200</v>
      </c>
      <c r="W19" s="99">
        <v>100</v>
      </c>
      <c r="X19" s="99">
        <v>200</v>
      </c>
      <c r="Y19" s="99">
        <v>150</v>
      </c>
      <c r="Z19" s="99">
        <v>0.2</v>
      </c>
      <c r="AA19" s="99" t="s">
        <v>484</v>
      </c>
      <c r="AB19" s="99" t="s">
        <v>485</v>
      </c>
    </row>
    <row r="20" spans="1:28">
      <c r="A20" s="200" t="str">
        <f>IF('5-ATJIF-02'!I25&gt;=3451,IF('5-ATJIF-02'!I25&lt;=43505,'5-ATJIF-02'!I25," ")," ")</f>
        <v xml:space="preserve"> </v>
      </c>
      <c r="B20" s="201">
        <v>17.75</v>
      </c>
      <c r="C20" s="201">
        <v>15</v>
      </c>
      <c r="D20" s="203">
        <v>0</v>
      </c>
      <c r="E20" s="201">
        <v>0.25</v>
      </c>
      <c r="F20" s="203">
        <v>0.25</v>
      </c>
      <c r="G20" s="201">
        <v>0</v>
      </c>
      <c r="H20" s="201">
        <v>5</v>
      </c>
      <c r="I20" s="201">
        <v>12</v>
      </c>
      <c r="M20" s="99" t="s">
        <v>510</v>
      </c>
      <c r="P20" s="99" t="s">
        <v>511</v>
      </c>
      <c r="R20" s="99" t="s">
        <v>508</v>
      </c>
      <c r="U20" s="202" t="s">
        <v>512</v>
      </c>
      <c r="V20" s="99">
        <v>200</v>
      </c>
      <c r="W20" s="99">
        <v>100</v>
      </c>
      <c r="X20" s="99">
        <v>200</v>
      </c>
      <c r="Y20" s="99">
        <v>150</v>
      </c>
      <c r="Z20" s="99">
        <v>0.2</v>
      </c>
      <c r="AA20" s="99" t="s">
        <v>484</v>
      </c>
      <c r="AB20" s="99" t="s">
        <v>485</v>
      </c>
    </row>
    <row r="21" spans="1:28">
      <c r="A21" s="200" t="str">
        <f>IF('5-ATJIF-02'!I25&gt;=4351,IF('5-ATJIF-02'!I25&lt;=5450,'5-ATJIF-02'!I25," ")," ")</f>
        <v xml:space="preserve"> </v>
      </c>
      <c r="B21" s="201">
        <v>18.75</v>
      </c>
      <c r="C21" s="201">
        <v>16</v>
      </c>
      <c r="D21" s="203">
        <v>0</v>
      </c>
      <c r="E21" s="201">
        <v>0.25</v>
      </c>
      <c r="F21" s="203">
        <v>0.25</v>
      </c>
      <c r="G21" s="201">
        <v>0</v>
      </c>
      <c r="H21" s="201">
        <v>5</v>
      </c>
      <c r="I21" s="201">
        <v>12</v>
      </c>
      <c r="M21" s="99" t="s">
        <v>513</v>
      </c>
      <c r="P21" s="99" t="s">
        <v>206</v>
      </c>
      <c r="R21" s="99" t="s">
        <v>60</v>
      </c>
      <c r="U21" s="202" t="s">
        <v>514</v>
      </c>
      <c r="V21" s="99">
        <v>200</v>
      </c>
      <c r="W21" s="99">
        <v>100</v>
      </c>
      <c r="X21" s="99">
        <v>200</v>
      </c>
      <c r="Y21" s="99">
        <v>150</v>
      </c>
      <c r="Z21" s="99">
        <v>0.2</v>
      </c>
      <c r="AA21" s="99" t="s">
        <v>484</v>
      </c>
      <c r="AB21" s="99" t="s">
        <v>485</v>
      </c>
    </row>
    <row r="22" spans="1:28">
      <c r="A22" s="200" t="str">
        <f>IF('5-ATJIF-02'!I25&gt;=5451,IF('5-ATJIF-02'!I25&lt;=6800,'5-ATJIF-02'!I25," ")," ")</f>
        <v xml:space="preserve"> </v>
      </c>
      <c r="B22" s="201">
        <v>19.75</v>
      </c>
      <c r="C22" s="201">
        <v>17</v>
      </c>
      <c r="D22" s="203">
        <v>0</v>
      </c>
      <c r="E22" s="201">
        <v>0.25</v>
      </c>
      <c r="F22" s="203">
        <v>0.25</v>
      </c>
      <c r="G22" s="201">
        <v>0</v>
      </c>
      <c r="H22" s="201">
        <v>6</v>
      </c>
      <c r="I22" s="201">
        <v>13</v>
      </c>
      <c r="M22" s="99" t="s">
        <v>515</v>
      </c>
      <c r="R22" s="99" t="s">
        <v>511</v>
      </c>
      <c r="U22" s="202" t="s">
        <v>516</v>
      </c>
      <c r="V22" s="99">
        <v>200</v>
      </c>
      <c r="W22" s="99">
        <v>100</v>
      </c>
      <c r="X22" s="99">
        <v>200</v>
      </c>
      <c r="Y22" s="99">
        <v>150</v>
      </c>
      <c r="Z22" s="99">
        <v>0.2</v>
      </c>
      <c r="AA22" s="99" t="s">
        <v>484</v>
      </c>
      <c r="AB22" s="99" t="s">
        <v>485</v>
      </c>
    </row>
    <row r="23" spans="1:28" ht="60">
      <c r="A23" s="200" t="str">
        <f>IF('5-ATJIF-02'!I25&gt;6800,'5-ATJIF-02'!I25," ")</f>
        <v xml:space="preserve"> </v>
      </c>
      <c r="B23" s="204" t="s">
        <v>517</v>
      </c>
      <c r="C23" s="204" t="s">
        <v>517</v>
      </c>
      <c r="D23" s="203">
        <v>0</v>
      </c>
      <c r="E23" s="201">
        <v>0.25</v>
      </c>
      <c r="F23" s="203">
        <v>0.25</v>
      </c>
      <c r="G23" s="201">
        <v>0</v>
      </c>
      <c r="H23" s="201"/>
      <c r="I23" s="201"/>
      <c r="M23" s="99" t="s">
        <v>518</v>
      </c>
      <c r="R23" s="99" t="s">
        <v>206</v>
      </c>
      <c r="U23" s="202" t="s">
        <v>519</v>
      </c>
      <c r="V23" s="99">
        <v>200</v>
      </c>
      <c r="W23" s="99">
        <v>100</v>
      </c>
      <c r="X23" s="99">
        <v>200</v>
      </c>
      <c r="Y23" s="99">
        <v>150</v>
      </c>
      <c r="Z23" s="99">
        <v>0.2</v>
      </c>
      <c r="AA23" s="99" t="s">
        <v>484</v>
      </c>
      <c r="AB23" s="99" t="s">
        <v>485</v>
      </c>
    </row>
    <row r="24" spans="1:28">
      <c r="M24" s="99" t="s">
        <v>520</v>
      </c>
      <c r="U24" s="202" t="s">
        <v>521</v>
      </c>
      <c r="V24" s="99">
        <v>200</v>
      </c>
      <c r="W24" s="99">
        <v>100</v>
      </c>
      <c r="X24" s="99">
        <v>200</v>
      </c>
      <c r="Y24" s="99">
        <v>150</v>
      </c>
      <c r="Z24" s="99">
        <v>0.2</v>
      </c>
      <c r="AA24" s="99" t="s">
        <v>484</v>
      </c>
      <c r="AB24" s="99" t="s">
        <v>485</v>
      </c>
    </row>
    <row r="25" spans="1:28">
      <c r="M25" s="99" t="s">
        <v>522</v>
      </c>
      <c r="Q25" s="99" t="s">
        <v>373</v>
      </c>
      <c r="R25" s="99" t="s">
        <v>501</v>
      </c>
      <c r="U25" s="202" t="s">
        <v>523</v>
      </c>
      <c r="V25" s="99">
        <v>200</v>
      </c>
      <c r="W25" s="99">
        <v>100</v>
      </c>
      <c r="X25" s="99">
        <v>200</v>
      </c>
      <c r="Y25" s="99">
        <v>150</v>
      </c>
      <c r="Z25" s="99">
        <v>0.2</v>
      </c>
      <c r="AA25" s="99" t="s">
        <v>484</v>
      </c>
      <c r="AB25" s="99" t="s">
        <v>485</v>
      </c>
    </row>
    <row r="26" spans="1:28" ht="45">
      <c r="M26" s="99" t="s">
        <v>524</v>
      </c>
      <c r="Q26" s="99" t="s">
        <v>525</v>
      </c>
      <c r="R26" s="99" t="s">
        <v>364</v>
      </c>
      <c r="U26" s="202" t="s">
        <v>526</v>
      </c>
      <c r="V26" s="99">
        <v>200</v>
      </c>
      <c r="W26" s="99">
        <v>100</v>
      </c>
      <c r="X26" s="99">
        <v>200</v>
      </c>
      <c r="Y26" s="99">
        <v>150</v>
      </c>
      <c r="Z26" s="99">
        <v>0.2</v>
      </c>
      <c r="AA26" s="99" t="s">
        <v>484</v>
      </c>
      <c r="AB26" s="99" t="s">
        <v>485</v>
      </c>
    </row>
    <row r="27" spans="1:28">
      <c r="Q27" s="99" t="s">
        <v>159</v>
      </c>
      <c r="R27" s="99" t="s">
        <v>527</v>
      </c>
      <c r="U27" s="202" t="s">
        <v>528</v>
      </c>
      <c r="V27" s="99">
        <v>200</v>
      </c>
      <c r="W27" s="99">
        <v>100</v>
      </c>
      <c r="X27" s="99">
        <v>200</v>
      </c>
      <c r="Y27" s="99">
        <v>150</v>
      </c>
      <c r="Z27" s="99">
        <v>0.2</v>
      </c>
      <c r="AA27" s="99" t="s">
        <v>484</v>
      </c>
      <c r="AB27" s="99" t="s">
        <v>485</v>
      </c>
    </row>
    <row r="28" spans="1:28" ht="30">
      <c r="Q28" s="99" t="s">
        <v>529</v>
      </c>
      <c r="R28" s="99" t="s">
        <v>206</v>
      </c>
      <c r="U28" s="202" t="s">
        <v>530</v>
      </c>
      <c r="V28" s="99">
        <v>200</v>
      </c>
      <c r="W28" s="99">
        <v>100</v>
      </c>
      <c r="X28" s="99">
        <v>200</v>
      </c>
      <c r="Y28" s="99">
        <v>150</v>
      </c>
      <c r="Z28" s="99">
        <v>0.2</v>
      </c>
      <c r="AA28" s="99" t="s">
        <v>484</v>
      </c>
      <c r="AB28" s="99" t="s">
        <v>485</v>
      </c>
    </row>
    <row r="29" spans="1:28">
      <c r="Q29" s="99" t="s">
        <v>531</v>
      </c>
      <c r="U29" s="202" t="s">
        <v>532</v>
      </c>
      <c r="V29" s="99">
        <v>200</v>
      </c>
      <c r="W29" s="99">
        <v>100</v>
      </c>
      <c r="X29" s="99">
        <v>200</v>
      </c>
      <c r="Y29" s="99">
        <v>150</v>
      </c>
      <c r="Z29" s="99">
        <v>0.2</v>
      </c>
      <c r="AA29" s="99" t="s">
        <v>484</v>
      </c>
      <c r="AB29" s="99" t="s">
        <v>485</v>
      </c>
    </row>
    <row r="30" spans="1:28" ht="30">
      <c r="Q30" s="99" t="s">
        <v>511</v>
      </c>
      <c r="U30" s="202" t="s">
        <v>533</v>
      </c>
      <c r="V30" s="99">
        <v>200</v>
      </c>
      <c r="W30" s="99">
        <v>100</v>
      </c>
      <c r="X30" s="99">
        <v>200</v>
      </c>
      <c r="Y30" s="99">
        <v>150</v>
      </c>
      <c r="Z30" s="99">
        <v>0.2</v>
      </c>
      <c r="AA30" s="99" t="s">
        <v>484</v>
      </c>
      <c r="AB30" s="99" t="s">
        <v>485</v>
      </c>
    </row>
    <row r="31" spans="1:28">
      <c r="Q31" s="99" t="s">
        <v>206</v>
      </c>
      <c r="U31" s="202" t="s">
        <v>534</v>
      </c>
      <c r="V31" s="99">
        <v>200</v>
      </c>
      <c r="W31" s="99">
        <v>100</v>
      </c>
      <c r="X31" s="99">
        <v>200</v>
      </c>
      <c r="Y31" s="99">
        <v>150</v>
      </c>
      <c r="Z31" s="99">
        <v>0.2</v>
      </c>
      <c r="AA31" s="99" t="s">
        <v>484</v>
      </c>
      <c r="AB31" s="99" t="s">
        <v>485</v>
      </c>
    </row>
    <row r="32" spans="1:28">
      <c r="U32" s="202" t="s">
        <v>535</v>
      </c>
      <c r="V32" s="99">
        <v>200</v>
      </c>
      <c r="W32" s="99">
        <v>100</v>
      </c>
      <c r="X32" s="99">
        <v>200</v>
      </c>
      <c r="Y32" s="99">
        <v>150</v>
      </c>
      <c r="Z32" s="99">
        <v>0.2</v>
      </c>
      <c r="AA32" s="99" t="s">
        <v>484</v>
      </c>
      <c r="AB32" s="99" t="s">
        <v>485</v>
      </c>
    </row>
    <row r="33" spans="1:28">
      <c r="U33" s="202" t="s">
        <v>536</v>
      </c>
      <c r="V33" s="99">
        <v>200</v>
      </c>
      <c r="W33" s="99">
        <v>100</v>
      </c>
      <c r="X33" s="99">
        <v>200</v>
      </c>
      <c r="Y33" s="99">
        <v>150</v>
      </c>
      <c r="Z33" s="99">
        <v>0.2</v>
      </c>
      <c r="AA33" s="99" t="s">
        <v>484</v>
      </c>
      <c r="AB33" s="99" t="s">
        <v>485</v>
      </c>
    </row>
    <row r="34" spans="1:28" ht="45">
      <c r="N34" s="99" t="s">
        <v>385</v>
      </c>
      <c r="P34" s="99" t="s">
        <v>537</v>
      </c>
      <c r="U34" s="202" t="s">
        <v>538</v>
      </c>
      <c r="V34" s="99">
        <v>200</v>
      </c>
      <c r="W34" s="99">
        <v>100</v>
      </c>
      <c r="X34" s="99">
        <v>200</v>
      </c>
      <c r="Y34" s="99">
        <v>150</v>
      </c>
      <c r="Z34" s="99">
        <v>0.2</v>
      </c>
      <c r="AA34" s="99" t="s">
        <v>484</v>
      </c>
      <c r="AB34" s="99" t="s">
        <v>485</v>
      </c>
    </row>
    <row r="35" spans="1:28">
      <c r="N35" s="99" t="s">
        <v>525</v>
      </c>
      <c r="P35" s="99" t="s">
        <v>539</v>
      </c>
      <c r="U35" s="202" t="s">
        <v>540</v>
      </c>
      <c r="V35" s="99">
        <v>200</v>
      </c>
      <c r="W35" s="99">
        <v>100</v>
      </c>
      <c r="X35" s="99">
        <v>200</v>
      </c>
      <c r="Y35" s="99">
        <v>150</v>
      </c>
      <c r="Z35" s="99">
        <v>0.2</v>
      </c>
      <c r="AA35" s="99" t="s">
        <v>484</v>
      </c>
      <c r="AB35" s="99" t="s">
        <v>485</v>
      </c>
    </row>
    <row r="36" spans="1:28">
      <c r="N36" s="99" t="s">
        <v>159</v>
      </c>
      <c r="P36" s="99" t="s">
        <v>541</v>
      </c>
      <c r="U36" s="202" t="s">
        <v>542</v>
      </c>
      <c r="V36" s="99">
        <v>200</v>
      </c>
      <c r="W36" s="99">
        <v>100</v>
      </c>
      <c r="X36" s="99">
        <v>200</v>
      </c>
      <c r="Y36" s="99">
        <v>150</v>
      </c>
      <c r="Z36" s="99">
        <v>0.2</v>
      </c>
      <c r="AA36" s="99" t="s">
        <v>484</v>
      </c>
      <c r="AB36" s="99" t="s">
        <v>485</v>
      </c>
    </row>
    <row r="37" spans="1:28">
      <c r="N37" s="99" t="s">
        <v>543</v>
      </c>
      <c r="U37" s="202" t="s">
        <v>544</v>
      </c>
      <c r="V37" s="99">
        <v>200</v>
      </c>
      <c r="W37" s="99">
        <v>100</v>
      </c>
      <c r="X37" s="99">
        <v>200</v>
      </c>
      <c r="Y37" s="99">
        <v>150</v>
      </c>
      <c r="Z37" s="99">
        <v>0.2</v>
      </c>
      <c r="AA37" s="99" t="s">
        <v>484</v>
      </c>
      <c r="AB37" s="99" t="s">
        <v>485</v>
      </c>
    </row>
    <row r="38" spans="1:28">
      <c r="N38" s="99" t="s">
        <v>545</v>
      </c>
      <c r="U38" s="202" t="s">
        <v>546</v>
      </c>
      <c r="V38" s="99">
        <v>200</v>
      </c>
      <c r="W38" s="99">
        <v>100</v>
      </c>
      <c r="X38" s="99">
        <v>200</v>
      </c>
      <c r="Y38" s="99">
        <v>150</v>
      </c>
      <c r="Z38" s="99">
        <v>0.2</v>
      </c>
      <c r="AA38" s="99" t="s">
        <v>484</v>
      </c>
      <c r="AB38" s="99" t="s">
        <v>485</v>
      </c>
    </row>
    <row r="39" spans="1:28">
      <c r="U39" s="202" t="s">
        <v>547</v>
      </c>
      <c r="V39" s="99">
        <v>200</v>
      </c>
      <c r="W39" s="99">
        <v>100</v>
      </c>
      <c r="X39" s="99">
        <v>200</v>
      </c>
      <c r="Y39" s="99">
        <v>150</v>
      </c>
      <c r="Z39" s="99">
        <v>0.2</v>
      </c>
      <c r="AA39" s="99" t="s">
        <v>484</v>
      </c>
      <c r="AB39" s="99" t="s">
        <v>485</v>
      </c>
    </row>
    <row r="40" spans="1:28">
      <c r="M40" s="99" t="s">
        <v>715</v>
      </c>
      <c r="N40" s="99" t="s">
        <v>716</v>
      </c>
      <c r="U40" s="202" t="s">
        <v>550</v>
      </c>
      <c r="V40" s="99">
        <v>200</v>
      </c>
      <c r="W40" s="99">
        <v>100</v>
      </c>
      <c r="X40" s="99">
        <v>200</v>
      </c>
      <c r="Y40" s="99">
        <v>150</v>
      </c>
      <c r="Z40" s="99">
        <v>0.2</v>
      </c>
      <c r="AA40" s="99" t="s">
        <v>484</v>
      </c>
      <c r="AB40" s="99" t="s">
        <v>485</v>
      </c>
    </row>
    <row r="41" spans="1:28">
      <c r="M41" s="99" t="s">
        <v>453</v>
      </c>
      <c r="N41" s="99" t="s">
        <v>551</v>
      </c>
      <c r="U41" s="202" t="s">
        <v>552</v>
      </c>
      <c r="V41" s="99">
        <v>200</v>
      </c>
      <c r="W41" s="99">
        <v>100</v>
      </c>
      <c r="X41" s="99">
        <v>200</v>
      </c>
      <c r="Y41" s="99">
        <v>150</v>
      </c>
      <c r="Z41" s="99">
        <v>0.2</v>
      </c>
      <c r="AA41" s="99" t="s">
        <v>484</v>
      </c>
      <c r="AB41" s="99" t="s">
        <v>485</v>
      </c>
    </row>
    <row r="42" spans="1:28" ht="30">
      <c r="M42" s="99" t="s">
        <v>553</v>
      </c>
      <c r="N42" s="99" t="s">
        <v>554</v>
      </c>
      <c r="U42" s="202" t="s">
        <v>555</v>
      </c>
      <c r="V42" s="99">
        <v>200</v>
      </c>
      <c r="W42" s="99">
        <v>100</v>
      </c>
      <c r="X42" s="99">
        <v>200</v>
      </c>
      <c r="Y42" s="99">
        <v>150</v>
      </c>
      <c r="Z42" s="99">
        <v>0.2</v>
      </c>
      <c r="AA42" s="99" t="s">
        <v>484</v>
      </c>
      <c r="AB42" s="99" t="s">
        <v>485</v>
      </c>
    </row>
    <row r="43" spans="1:28">
      <c r="M43" s="99" t="s">
        <v>462</v>
      </c>
      <c r="N43" s="99" t="s">
        <v>556</v>
      </c>
      <c r="U43" s="202" t="s">
        <v>557</v>
      </c>
      <c r="V43" s="99">
        <v>200</v>
      </c>
      <c r="W43" s="99">
        <v>100</v>
      </c>
      <c r="X43" s="99">
        <v>200</v>
      </c>
      <c r="Y43" s="99">
        <v>150</v>
      </c>
      <c r="Z43" s="99">
        <v>0.2</v>
      </c>
      <c r="AA43" s="99" t="s">
        <v>484</v>
      </c>
      <c r="AB43" s="99" t="s">
        <v>485</v>
      </c>
    </row>
    <row r="44" spans="1:28">
      <c r="M44" s="99" t="s">
        <v>463</v>
      </c>
      <c r="N44" s="99" t="s">
        <v>558</v>
      </c>
      <c r="U44" s="202" t="s">
        <v>559</v>
      </c>
      <c r="V44" s="99">
        <v>200</v>
      </c>
      <c r="W44" s="99">
        <v>100</v>
      </c>
      <c r="X44" s="99">
        <v>200</v>
      </c>
      <c r="Y44" s="99">
        <v>150</v>
      </c>
      <c r="Z44" s="99">
        <v>0.2</v>
      </c>
      <c r="AA44" s="99" t="s">
        <v>484</v>
      </c>
      <c r="AB44" s="99" t="s">
        <v>485</v>
      </c>
    </row>
    <row r="45" spans="1:28">
      <c r="M45" s="99" t="s">
        <v>560</v>
      </c>
      <c r="N45" s="99" t="s">
        <v>561</v>
      </c>
      <c r="U45" s="202" t="s">
        <v>562</v>
      </c>
      <c r="V45" s="99">
        <v>200</v>
      </c>
      <c r="W45" s="99">
        <v>100</v>
      </c>
      <c r="X45" s="99">
        <v>200</v>
      </c>
      <c r="Y45" s="99">
        <v>150</v>
      </c>
      <c r="Z45" s="99">
        <v>0.2</v>
      </c>
      <c r="AA45" s="99" t="s">
        <v>484</v>
      </c>
      <c r="AB45" s="99" t="s">
        <v>485</v>
      </c>
    </row>
    <row r="46" spans="1:28" ht="30">
      <c r="U46" s="202" t="s">
        <v>563</v>
      </c>
      <c r="V46" s="99">
        <v>200</v>
      </c>
      <c r="W46" s="99">
        <v>100</v>
      </c>
      <c r="X46" s="99">
        <v>200</v>
      </c>
      <c r="Y46" s="99">
        <v>150</v>
      </c>
      <c r="Z46" s="99">
        <v>0.2</v>
      </c>
      <c r="AA46" s="99" t="s">
        <v>484</v>
      </c>
      <c r="AB46" s="99" t="s">
        <v>485</v>
      </c>
    </row>
    <row r="47" spans="1:28" ht="105">
      <c r="A47" s="99">
        <f>'5-ATJIF-02'!C13</f>
        <v>0</v>
      </c>
      <c r="U47" s="202" t="s">
        <v>564</v>
      </c>
      <c r="V47" s="99">
        <v>200</v>
      </c>
      <c r="W47" s="99">
        <v>100</v>
      </c>
      <c r="X47" s="99">
        <v>200</v>
      </c>
      <c r="Y47" s="99">
        <v>150</v>
      </c>
      <c r="Z47" s="99">
        <v>0.2</v>
      </c>
      <c r="AA47" s="99" t="s">
        <v>484</v>
      </c>
      <c r="AB47" s="99" t="s">
        <v>485</v>
      </c>
    </row>
    <row r="48" spans="1:28" ht="75">
      <c r="A48" s="99" t="e">
        <f>#REF!</f>
        <v>#REF!</v>
      </c>
      <c r="U48" s="202" t="s">
        <v>565</v>
      </c>
      <c r="V48" s="99">
        <v>200</v>
      </c>
      <c r="W48" s="99">
        <v>100</v>
      </c>
      <c r="X48" s="99">
        <v>200</v>
      </c>
      <c r="Y48" s="99">
        <v>150</v>
      </c>
      <c r="Z48" s="99">
        <v>0.2</v>
      </c>
      <c r="AA48" s="99" t="s">
        <v>484</v>
      </c>
      <c r="AB48" s="99" t="s">
        <v>485</v>
      </c>
    </row>
    <row r="49" spans="1:28">
      <c r="A49" s="99" t="e">
        <f>#REF!</f>
        <v>#REF!</v>
      </c>
      <c r="U49" s="202" t="s">
        <v>566</v>
      </c>
      <c r="V49" s="99">
        <v>200</v>
      </c>
      <c r="W49" s="99">
        <v>100</v>
      </c>
      <c r="X49" s="99">
        <v>200</v>
      </c>
      <c r="Y49" s="99">
        <v>150</v>
      </c>
      <c r="Z49" s="99">
        <v>0.2</v>
      </c>
      <c r="AA49" s="99" t="s">
        <v>484</v>
      </c>
      <c r="AB49" s="99" t="s">
        <v>485</v>
      </c>
    </row>
    <row r="50" spans="1:28">
      <c r="U50" s="202" t="s">
        <v>567</v>
      </c>
      <c r="V50" s="99">
        <v>200</v>
      </c>
      <c r="W50" s="99">
        <v>100</v>
      </c>
      <c r="X50" s="99">
        <v>200</v>
      </c>
      <c r="Y50" s="99">
        <v>150</v>
      </c>
      <c r="Z50" s="99">
        <v>0.2</v>
      </c>
      <c r="AA50" s="99" t="s">
        <v>484</v>
      </c>
      <c r="AB50" s="99" t="s">
        <v>485</v>
      </c>
    </row>
    <row r="51" spans="1:28">
      <c r="U51" s="202" t="s">
        <v>568</v>
      </c>
      <c r="V51" s="99">
        <v>200</v>
      </c>
      <c r="W51" s="99">
        <v>100</v>
      </c>
      <c r="X51" s="99">
        <v>200</v>
      </c>
      <c r="Y51" s="99">
        <v>150</v>
      </c>
      <c r="Z51" s="99">
        <v>0.2</v>
      </c>
      <c r="AA51" s="99" t="s">
        <v>484</v>
      </c>
      <c r="AB51" s="99" t="s">
        <v>485</v>
      </c>
    </row>
    <row r="52" spans="1:28" ht="45">
      <c r="U52" s="202" t="s">
        <v>569</v>
      </c>
      <c r="V52" s="99">
        <v>200</v>
      </c>
      <c r="W52" s="99">
        <v>100</v>
      </c>
      <c r="X52" s="99">
        <v>200</v>
      </c>
      <c r="Y52" s="99">
        <v>150</v>
      </c>
      <c r="Z52" s="99">
        <v>0.2</v>
      </c>
      <c r="AA52" s="99" t="s">
        <v>484</v>
      </c>
      <c r="AB52" s="99" t="s">
        <v>485</v>
      </c>
    </row>
    <row r="53" spans="1:28">
      <c r="U53" s="202" t="s">
        <v>570</v>
      </c>
      <c r="V53" s="99">
        <v>200</v>
      </c>
      <c r="W53" s="99">
        <v>100</v>
      </c>
      <c r="X53" s="99">
        <v>200</v>
      </c>
      <c r="Y53" s="99">
        <v>150</v>
      </c>
      <c r="Z53" s="99">
        <v>0.2</v>
      </c>
      <c r="AA53" s="99" t="s">
        <v>484</v>
      </c>
      <c r="AB53" s="99" t="s">
        <v>485</v>
      </c>
    </row>
    <row r="54" spans="1:28">
      <c r="U54" s="202" t="s">
        <v>14</v>
      </c>
      <c r="V54" s="99">
        <v>400</v>
      </c>
      <c r="W54" s="99">
        <v>100</v>
      </c>
      <c r="X54" s="99">
        <v>400</v>
      </c>
      <c r="Y54" s="99">
        <v>300</v>
      </c>
      <c r="Z54" s="99">
        <v>0.2</v>
      </c>
      <c r="AA54" s="99" t="s">
        <v>571</v>
      </c>
      <c r="AB54" s="99" t="s">
        <v>485</v>
      </c>
    </row>
    <row r="55" spans="1:28" ht="30">
      <c r="U55" s="202" t="s">
        <v>572</v>
      </c>
      <c r="V55" s="99">
        <v>200</v>
      </c>
      <c r="W55" s="99">
        <v>100</v>
      </c>
      <c r="X55" s="99">
        <v>200</v>
      </c>
      <c r="Y55" s="99">
        <v>150</v>
      </c>
      <c r="Z55" s="99">
        <v>0.2</v>
      </c>
      <c r="AA55" s="99" t="s">
        <v>484</v>
      </c>
      <c r="AB55" s="99" t="s">
        <v>485</v>
      </c>
    </row>
    <row r="56" spans="1:28" ht="30">
      <c r="U56" s="202" t="s">
        <v>573</v>
      </c>
      <c r="V56" s="99">
        <v>200</v>
      </c>
      <c r="W56" s="99">
        <v>100</v>
      </c>
      <c r="X56" s="99">
        <v>200</v>
      </c>
      <c r="Y56" s="99">
        <v>150</v>
      </c>
      <c r="Z56" s="99">
        <v>0.2</v>
      </c>
      <c r="AA56" s="99" t="s">
        <v>484</v>
      </c>
      <c r="AB56" s="99" t="s">
        <v>485</v>
      </c>
    </row>
    <row r="57" spans="1:28">
      <c r="U57" s="202" t="s">
        <v>574</v>
      </c>
      <c r="V57" s="99">
        <v>200</v>
      </c>
      <c r="W57" s="99">
        <v>100</v>
      </c>
      <c r="X57" s="99">
        <v>200</v>
      </c>
      <c r="Y57" s="99">
        <v>150</v>
      </c>
      <c r="Z57" s="99">
        <v>0.2</v>
      </c>
      <c r="AA57" s="99" t="s">
        <v>484</v>
      </c>
      <c r="AB57" s="99" t="s">
        <v>485</v>
      </c>
    </row>
    <row r="58" spans="1:28">
      <c r="U58" s="202" t="s">
        <v>575</v>
      </c>
      <c r="V58" s="99">
        <v>200</v>
      </c>
      <c r="W58" s="99">
        <v>100</v>
      </c>
      <c r="X58" s="99">
        <v>200</v>
      </c>
      <c r="Y58" s="99">
        <v>150</v>
      </c>
      <c r="Z58" s="99">
        <v>0.2</v>
      </c>
      <c r="AA58" s="99" t="s">
        <v>484</v>
      </c>
      <c r="AB58" s="99" t="s">
        <v>485</v>
      </c>
    </row>
    <row r="59" spans="1:28">
      <c r="U59" s="202" t="s">
        <v>576</v>
      </c>
      <c r="V59" s="99">
        <v>200</v>
      </c>
      <c r="W59" s="99">
        <v>100</v>
      </c>
      <c r="X59" s="99">
        <v>200</v>
      </c>
      <c r="Y59" s="99">
        <v>150</v>
      </c>
      <c r="Z59" s="99">
        <v>0.2</v>
      </c>
      <c r="AA59" s="99" t="s">
        <v>484</v>
      </c>
      <c r="AB59" s="99" t="s">
        <v>485</v>
      </c>
    </row>
    <row r="60" spans="1:28">
      <c r="U60" s="202" t="s">
        <v>577</v>
      </c>
      <c r="V60" s="99">
        <v>200</v>
      </c>
      <c r="W60" s="99">
        <v>100</v>
      </c>
      <c r="X60" s="99">
        <v>200</v>
      </c>
      <c r="Y60" s="99">
        <v>150</v>
      </c>
      <c r="Z60" s="99">
        <v>0.2</v>
      </c>
      <c r="AA60" s="99" t="s">
        <v>484</v>
      </c>
      <c r="AB60" s="99" t="s">
        <v>485</v>
      </c>
    </row>
    <row r="61" spans="1:28">
      <c r="U61" s="202" t="s">
        <v>578</v>
      </c>
      <c r="V61" s="99">
        <v>200</v>
      </c>
      <c r="W61" s="99">
        <v>100</v>
      </c>
      <c r="X61" s="99">
        <v>200</v>
      </c>
      <c r="Y61" s="99">
        <v>150</v>
      </c>
      <c r="Z61" s="99">
        <v>0.2</v>
      </c>
      <c r="AA61" s="99" t="s">
        <v>484</v>
      </c>
      <c r="AB61" s="99" t="s">
        <v>485</v>
      </c>
    </row>
    <row r="62" spans="1:28">
      <c r="U62" s="202" t="s">
        <v>579</v>
      </c>
      <c r="V62" s="99">
        <v>200</v>
      </c>
      <c r="W62" s="99">
        <v>100</v>
      </c>
      <c r="X62" s="99">
        <v>200</v>
      </c>
      <c r="Y62" s="99">
        <v>150</v>
      </c>
      <c r="Z62" s="99">
        <v>0.2</v>
      </c>
      <c r="AA62" s="99" t="s">
        <v>484</v>
      </c>
      <c r="AB62" s="99" t="s">
        <v>485</v>
      </c>
    </row>
    <row r="63" spans="1:28">
      <c r="U63" s="202" t="s">
        <v>580</v>
      </c>
      <c r="V63" s="99">
        <v>200</v>
      </c>
      <c r="W63" s="99">
        <v>100</v>
      </c>
      <c r="X63" s="99">
        <v>200</v>
      </c>
      <c r="Y63" s="99">
        <v>150</v>
      </c>
      <c r="Z63" s="99">
        <v>0.2</v>
      </c>
      <c r="AA63" s="99" t="s">
        <v>484</v>
      </c>
      <c r="AB63" s="99" t="s">
        <v>485</v>
      </c>
    </row>
    <row r="64" spans="1:28">
      <c r="U64" s="202" t="s">
        <v>581</v>
      </c>
      <c r="V64" s="99">
        <v>200</v>
      </c>
      <c r="W64" s="99">
        <v>100</v>
      </c>
      <c r="X64" s="99">
        <v>200</v>
      </c>
      <c r="Y64" s="99">
        <v>150</v>
      </c>
      <c r="Z64" s="99">
        <v>0.2</v>
      </c>
      <c r="AA64" s="99" t="s">
        <v>484</v>
      </c>
      <c r="AB64" s="99" t="s">
        <v>485</v>
      </c>
    </row>
    <row r="65" spans="21:28">
      <c r="U65" s="202" t="s">
        <v>582</v>
      </c>
      <c r="V65" s="99">
        <v>200</v>
      </c>
      <c r="W65" s="99">
        <v>100</v>
      </c>
      <c r="X65" s="99">
        <v>200</v>
      </c>
      <c r="Y65" s="99">
        <v>150</v>
      </c>
      <c r="Z65" s="99">
        <v>0.2</v>
      </c>
      <c r="AA65" s="99" t="s">
        <v>484</v>
      </c>
      <c r="AB65" s="99" t="s">
        <v>485</v>
      </c>
    </row>
    <row r="66" spans="21:28">
      <c r="U66" s="202" t="s">
        <v>583</v>
      </c>
      <c r="V66" s="99">
        <v>200</v>
      </c>
      <c r="W66" s="99">
        <v>100</v>
      </c>
      <c r="X66" s="99">
        <v>200</v>
      </c>
      <c r="Y66" s="99">
        <v>150</v>
      </c>
      <c r="Z66" s="99">
        <v>0.2</v>
      </c>
      <c r="AA66" s="99" t="s">
        <v>484</v>
      </c>
      <c r="AB66" s="99" t="s">
        <v>485</v>
      </c>
    </row>
    <row r="67" spans="21:28">
      <c r="U67" s="202" t="s">
        <v>584</v>
      </c>
      <c r="V67" s="99">
        <v>200</v>
      </c>
      <c r="W67" s="99">
        <v>100</v>
      </c>
      <c r="X67" s="99">
        <v>200</v>
      </c>
      <c r="Y67" s="99">
        <v>150</v>
      </c>
      <c r="Z67" s="99">
        <v>0.2</v>
      </c>
      <c r="AA67" s="99" t="s">
        <v>484</v>
      </c>
      <c r="AB67" s="99" t="s">
        <v>485</v>
      </c>
    </row>
    <row r="68" spans="21:28">
      <c r="U68" s="202" t="s">
        <v>585</v>
      </c>
      <c r="V68" s="99">
        <v>200</v>
      </c>
      <c r="W68" s="99">
        <v>100</v>
      </c>
      <c r="X68" s="99">
        <v>200</v>
      </c>
      <c r="Y68" s="99">
        <v>150</v>
      </c>
      <c r="Z68" s="99">
        <v>0.2</v>
      </c>
      <c r="AA68" s="99" t="s">
        <v>484</v>
      </c>
      <c r="AB68" s="99" t="s">
        <v>485</v>
      </c>
    </row>
    <row r="69" spans="21:28">
      <c r="U69" s="202" t="s">
        <v>586</v>
      </c>
      <c r="V69" s="99">
        <v>200</v>
      </c>
      <c r="W69" s="99">
        <v>100</v>
      </c>
      <c r="X69" s="99">
        <v>200</v>
      </c>
      <c r="Y69" s="99">
        <v>150</v>
      </c>
      <c r="Z69" s="99">
        <v>0.2</v>
      </c>
      <c r="AA69" s="99" t="s">
        <v>484</v>
      </c>
      <c r="AB69" s="99" t="s">
        <v>485</v>
      </c>
    </row>
    <row r="70" spans="21:28" ht="30">
      <c r="U70" s="202" t="s">
        <v>587</v>
      </c>
      <c r="V70" s="99">
        <v>200</v>
      </c>
      <c r="W70" s="99">
        <v>100</v>
      </c>
      <c r="X70" s="99">
        <v>200</v>
      </c>
      <c r="Y70" s="99">
        <v>150</v>
      </c>
      <c r="Z70" s="99">
        <v>0.2</v>
      </c>
      <c r="AA70" s="99" t="s">
        <v>484</v>
      </c>
      <c r="AB70" s="99" t="s">
        <v>485</v>
      </c>
    </row>
    <row r="71" spans="21:28">
      <c r="U71" s="202" t="s">
        <v>588</v>
      </c>
      <c r="V71" s="99">
        <v>200</v>
      </c>
      <c r="W71" s="99">
        <v>100</v>
      </c>
      <c r="X71" s="99">
        <v>200</v>
      </c>
      <c r="Y71" s="99">
        <v>150</v>
      </c>
      <c r="Z71" s="99">
        <v>0.2</v>
      </c>
      <c r="AA71" s="99" t="s">
        <v>484</v>
      </c>
      <c r="AB71" s="99" t="s">
        <v>485</v>
      </c>
    </row>
    <row r="72" spans="21:28" ht="30">
      <c r="U72" s="202" t="s">
        <v>589</v>
      </c>
      <c r="V72" s="99">
        <v>200</v>
      </c>
      <c r="W72" s="99">
        <v>100</v>
      </c>
      <c r="X72" s="99">
        <v>200</v>
      </c>
      <c r="Y72" s="99">
        <v>150</v>
      </c>
      <c r="Z72" s="99">
        <v>0.2</v>
      </c>
      <c r="AA72" s="99" t="s">
        <v>484</v>
      </c>
      <c r="AB72" s="99" t="s">
        <v>485</v>
      </c>
    </row>
    <row r="73" spans="21:28">
      <c r="U73" s="202" t="s">
        <v>590</v>
      </c>
      <c r="V73" s="99">
        <v>200</v>
      </c>
      <c r="W73" s="99">
        <v>100</v>
      </c>
      <c r="X73" s="99">
        <v>200</v>
      </c>
      <c r="Y73" s="99">
        <v>150</v>
      </c>
      <c r="Z73" s="99">
        <v>0.2</v>
      </c>
      <c r="AA73" s="99" t="s">
        <v>484</v>
      </c>
      <c r="AB73" s="99" t="s">
        <v>485</v>
      </c>
    </row>
    <row r="74" spans="21:28">
      <c r="U74" s="202" t="s">
        <v>591</v>
      </c>
      <c r="V74" s="99">
        <v>200</v>
      </c>
      <c r="W74" s="99">
        <v>100</v>
      </c>
      <c r="X74" s="99">
        <v>200</v>
      </c>
      <c r="Y74" s="99">
        <v>150</v>
      </c>
      <c r="Z74" s="99">
        <v>0.2</v>
      </c>
      <c r="AA74" s="99" t="s">
        <v>484</v>
      </c>
      <c r="AB74" s="99" t="s">
        <v>485</v>
      </c>
    </row>
    <row r="75" spans="21:28">
      <c r="U75" s="202" t="s">
        <v>592</v>
      </c>
      <c r="V75" s="99">
        <v>200</v>
      </c>
      <c r="W75" s="99">
        <v>100</v>
      </c>
      <c r="X75" s="99">
        <v>200</v>
      </c>
      <c r="Y75" s="99">
        <v>150</v>
      </c>
      <c r="Z75" s="99">
        <v>0.2</v>
      </c>
      <c r="AA75" s="99" t="s">
        <v>484</v>
      </c>
      <c r="AB75" s="99" t="s">
        <v>485</v>
      </c>
    </row>
    <row r="76" spans="21:28">
      <c r="U76" s="202" t="s">
        <v>593</v>
      </c>
      <c r="V76" s="99">
        <v>200</v>
      </c>
      <c r="W76" s="99">
        <v>100</v>
      </c>
      <c r="X76" s="99">
        <v>200</v>
      </c>
      <c r="Y76" s="99">
        <v>150</v>
      </c>
      <c r="Z76" s="99">
        <v>0.2</v>
      </c>
      <c r="AA76" s="99" t="s">
        <v>484</v>
      </c>
      <c r="AB76" s="99" t="s">
        <v>485</v>
      </c>
    </row>
    <row r="77" spans="21:28">
      <c r="U77" s="202" t="s">
        <v>594</v>
      </c>
      <c r="V77" s="99">
        <v>200</v>
      </c>
      <c r="W77" s="99">
        <v>100</v>
      </c>
      <c r="X77" s="99">
        <v>200</v>
      </c>
      <c r="Y77" s="99">
        <v>150</v>
      </c>
      <c r="Z77" s="99">
        <v>0.2</v>
      </c>
      <c r="AA77" s="99" t="s">
        <v>484</v>
      </c>
      <c r="AB77" s="99" t="s">
        <v>485</v>
      </c>
    </row>
    <row r="78" spans="21:28">
      <c r="U78" s="202" t="s">
        <v>595</v>
      </c>
      <c r="V78" s="99">
        <v>200</v>
      </c>
      <c r="W78" s="99">
        <v>100</v>
      </c>
      <c r="X78" s="99">
        <v>200</v>
      </c>
      <c r="Y78" s="99">
        <v>150</v>
      </c>
      <c r="Z78" s="99">
        <v>0.2</v>
      </c>
      <c r="AA78" s="99" t="s">
        <v>484</v>
      </c>
      <c r="AB78" s="99" t="s">
        <v>485</v>
      </c>
    </row>
    <row r="79" spans="21:28">
      <c r="U79" s="202" t="s">
        <v>596</v>
      </c>
      <c r="V79" s="99">
        <v>200</v>
      </c>
      <c r="W79" s="99">
        <v>100</v>
      </c>
      <c r="X79" s="99">
        <v>200</v>
      </c>
      <c r="Y79" s="99">
        <v>150</v>
      </c>
      <c r="Z79" s="99">
        <v>0.2</v>
      </c>
      <c r="AA79" s="99" t="s">
        <v>484</v>
      </c>
      <c r="AB79" s="99" t="s">
        <v>485</v>
      </c>
    </row>
    <row r="80" spans="21:28">
      <c r="U80" s="202" t="s">
        <v>597</v>
      </c>
      <c r="V80" s="99">
        <v>200</v>
      </c>
      <c r="W80" s="99">
        <v>100</v>
      </c>
      <c r="X80" s="99">
        <v>200</v>
      </c>
      <c r="Y80" s="99">
        <v>150</v>
      </c>
      <c r="Z80" s="99">
        <v>0.2</v>
      </c>
      <c r="AA80" s="99" t="s">
        <v>484</v>
      </c>
      <c r="AB80" s="99" t="s">
        <v>485</v>
      </c>
    </row>
    <row r="81" spans="21:28">
      <c r="U81" s="202" t="s">
        <v>598</v>
      </c>
      <c r="V81" s="99">
        <v>200</v>
      </c>
      <c r="W81" s="99">
        <v>100</v>
      </c>
      <c r="X81" s="99">
        <v>200</v>
      </c>
      <c r="Y81" s="99">
        <v>150</v>
      </c>
      <c r="Z81" s="99">
        <v>0.2</v>
      </c>
      <c r="AA81" s="99" t="s">
        <v>484</v>
      </c>
      <c r="AB81" s="99" t="s">
        <v>485</v>
      </c>
    </row>
    <row r="82" spans="21:28">
      <c r="U82" s="202" t="s">
        <v>599</v>
      </c>
      <c r="V82" s="99">
        <v>200</v>
      </c>
      <c r="W82" s="99">
        <v>100</v>
      </c>
      <c r="X82" s="99">
        <v>200</v>
      </c>
      <c r="Y82" s="99">
        <v>150</v>
      </c>
      <c r="Z82" s="99">
        <v>0.2</v>
      </c>
      <c r="AA82" s="99" t="s">
        <v>484</v>
      </c>
      <c r="AB82" s="99" t="s">
        <v>485</v>
      </c>
    </row>
    <row r="83" spans="21:28">
      <c r="U83" s="202" t="s">
        <v>600</v>
      </c>
      <c r="V83" s="99">
        <v>200</v>
      </c>
      <c r="W83" s="99">
        <v>100</v>
      </c>
      <c r="X83" s="99">
        <v>200</v>
      </c>
      <c r="Y83" s="99">
        <v>150</v>
      </c>
      <c r="Z83" s="99">
        <v>0.2</v>
      </c>
      <c r="AA83" s="99" t="s">
        <v>484</v>
      </c>
      <c r="AB83" s="99" t="s">
        <v>485</v>
      </c>
    </row>
    <row r="84" spans="21:28">
      <c r="U84" s="202" t="s">
        <v>601</v>
      </c>
      <c r="V84" s="99">
        <v>200</v>
      </c>
      <c r="W84" s="99">
        <v>100</v>
      </c>
      <c r="X84" s="99">
        <v>200</v>
      </c>
      <c r="Y84" s="99">
        <v>150</v>
      </c>
      <c r="Z84" s="99">
        <v>0.2</v>
      </c>
      <c r="AA84" s="99" t="s">
        <v>484</v>
      </c>
      <c r="AB84" s="99" t="s">
        <v>485</v>
      </c>
    </row>
    <row r="85" spans="21:28">
      <c r="U85" s="202" t="s">
        <v>602</v>
      </c>
      <c r="V85" s="99">
        <v>200</v>
      </c>
      <c r="W85" s="99">
        <v>100</v>
      </c>
      <c r="X85" s="99">
        <v>200</v>
      </c>
      <c r="Y85" s="99">
        <v>150</v>
      </c>
      <c r="Z85" s="99">
        <v>0.2</v>
      </c>
      <c r="AA85" s="99" t="s">
        <v>484</v>
      </c>
      <c r="AB85" s="99" t="s">
        <v>485</v>
      </c>
    </row>
    <row r="86" spans="21:28">
      <c r="U86" s="202" t="s">
        <v>603</v>
      </c>
      <c r="V86" s="99">
        <v>200</v>
      </c>
      <c r="W86" s="99">
        <v>100</v>
      </c>
      <c r="X86" s="99">
        <v>200</v>
      </c>
      <c r="Y86" s="99">
        <v>150</v>
      </c>
      <c r="Z86" s="99">
        <v>0.2</v>
      </c>
      <c r="AA86" s="99" t="s">
        <v>484</v>
      </c>
      <c r="AB86" s="99" t="s">
        <v>485</v>
      </c>
    </row>
    <row r="87" spans="21:28">
      <c r="U87" s="202" t="s">
        <v>604</v>
      </c>
      <c r="V87" s="99">
        <v>200</v>
      </c>
      <c r="W87" s="99">
        <v>100</v>
      </c>
      <c r="X87" s="99">
        <v>200</v>
      </c>
      <c r="Y87" s="99">
        <v>150</v>
      </c>
      <c r="Z87" s="99">
        <v>0.2</v>
      </c>
      <c r="AA87" s="99" t="s">
        <v>484</v>
      </c>
      <c r="AB87" s="99" t="s">
        <v>485</v>
      </c>
    </row>
    <row r="88" spans="21:28" ht="30">
      <c r="U88" s="202" t="s">
        <v>605</v>
      </c>
      <c r="V88" s="99">
        <v>200</v>
      </c>
      <c r="W88" s="99">
        <v>100</v>
      </c>
      <c r="X88" s="99">
        <v>200</v>
      </c>
      <c r="Y88" s="99">
        <v>150</v>
      </c>
      <c r="Z88" s="99">
        <v>0.2</v>
      </c>
      <c r="AA88" s="99" t="s">
        <v>484</v>
      </c>
      <c r="AB88" s="99" t="s">
        <v>485</v>
      </c>
    </row>
    <row r="89" spans="21:28">
      <c r="U89" s="202" t="s">
        <v>606</v>
      </c>
      <c r="V89" s="99">
        <v>200</v>
      </c>
      <c r="W89" s="99">
        <v>100</v>
      </c>
      <c r="X89" s="99">
        <v>200</v>
      </c>
      <c r="Y89" s="99">
        <v>150</v>
      </c>
      <c r="Z89" s="99">
        <v>0.2</v>
      </c>
      <c r="AA89" s="99" t="s">
        <v>484</v>
      </c>
      <c r="AB89" s="99" t="s">
        <v>485</v>
      </c>
    </row>
    <row r="90" spans="21:28">
      <c r="U90" s="202" t="s">
        <v>607</v>
      </c>
      <c r="V90" s="99">
        <v>200</v>
      </c>
      <c r="W90" s="99">
        <v>100</v>
      </c>
      <c r="X90" s="99">
        <v>200</v>
      </c>
      <c r="Y90" s="99">
        <v>150</v>
      </c>
      <c r="Z90" s="99">
        <v>0.2</v>
      </c>
      <c r="AA90" s="99" t="s">
        <v>484</v>
      </c>
      <c r="AB90" s="99" t="s">
        <v>485</v>
      </c>
    </row>
    <row r="91" spans="21:28">
      <c r="U91" s="202" t="s">
        <v>608</v>
      </c>
      <c r="V91" s="99">
        <v>200</v>
      </c>
      <c r="W91" s="99">
        <v>100</v>
      </c>
      <c r="X91" s="99">
        <v>200</v>
      </c>
      <c r="Y91" s="99">
        <v>150</v>
      </c>
      <c r="Z91" s="99">
        <v>0.2</v>
      </c>
      <c r="AA91" s="99" t="s">
        <v>484</v>
      </c>
      <c r="AB91" s="99" t="s">
        <v>485</v>
      </c>
    </row>
    <row r="92" spans="21:28" ht="30">
      <c r="U92" s="202" t="s">
        <v>609</v>
      </c>
      <c r="V92" s="99">
        <v>200</v>
      </c>
      <c r="W92" s="99">
        <v>100</v>
      </c>
      <c r="X92" s="99">
        <v>200</v>
      </c>
      <c r="Y92" s="99">
        <v>150</v>
      </c>
      <c r="Z92" s="99">
        <v>0.2</v>
      </c>
      <c r="AA92" s="99" t="s">
        <v>484</v>
      </c>
      <c r="AB92" s="99" t="s">
        <v>485</v>
      </c>
    </row>
    <row r="93" spans="21:28" ht="90">
      <c r="U93" s="202" t="s">
        <v>610</v>
      </c>
      <c r="V93" s="99">
        <v>200</v>
      </c>
      <c r="W93" s="99">
        <v>100</v>
      </c>
      <c r="X93" s="99">
        <v>200</v>
      </c>
      <c r="Y93" s="99">
        <v>150</v>
      </c>
      <c r="Z93" s="99">
        <v>0.2</v>
      </c>
      <c r="AA93" s="99" t="s">
        <v>484</v>
      </c>
      <c r="AB93" s="99" t="s">
        <v>485</v>
      </c>
    </row>
    <row r="94" spans="21:28">
      <c r="U94" s="202" t="s">
        <v>611</v>
      </c>
      <c r="V94" s="99">
        <v>200</v>
      </c>
      <c r="W94" s="99">
        <v>100</v>
      </c>
      <c r="X94" s="99">
        <v>200</v>
      </c>
      <c r="Y94" s="99">
        <v>150</v>
      </c>
      <c r="Z94" s="99">
        <v>0.2</v>
      </c>
      <c r="AA94" s="99" t="s">
        <v>484</v>
      </c>
      <c r="AB94" s="99" t="s">
        <v>485</v>
      </c>
    </row>
    <row r="95" spans="21:28">
      <c r="U95" s="202" t="s">
        <v>612</v>
      </c>
      <c r="V95" s="99">
        <v>200</v>
      </c>
      <c r="W95" s="99">
        <v>100</v>
      </c>
      <c r="X95" s="99">
        <v>200</v>
      </c>
      <c r="Y95" s="99">
        <v>150</v>
      </c>
      <c r="Z95" s="99">
        <v>0.2</v>
      </c>
      <c r="AA95" s="99" t="s">
        <v>484</v>
      </c>
      <c r="AB95" s="99" t="s">
        <v>485</v>
      </c>
    </row>
    <row r="96" spans="21:28">
      <c r="U96" s="202" t="s">
        <v>613</v>
      </c>
      <c r="V96" s="99">
        <v>200</v>
      </c>
      <c r="W96" s="99">
        <v>100</v>
      </c>
      <c r="X96" s="99">
        <v>200</v>
      </c>
      <c r="Y96" s="99">
        <v>150</v>
      </c>
      <c r="Z96" s="99">
        <v>0.2</v>
      </c>
      <c r="AA96" s="99" t="s">
        <v>484</v>
      </c>
      <c r="AB96" s="99" t="s">
        <v>485</v>
      </c>
    </row>
    <row r="97" spans="21:28">
      <c r="U97" s="202" t="s">
        <v>614</v>
      </c>
      <c r="V97" s="99">
        <v>200</v>
      </c>
      <c r="W97" s="99">
        <v>100</v>
      </c>
      <c r="X97" s="99">
        <v>200</v>
      </c>
      <c r="Y97" s="99">
        <v>150</v>
      </c>
      <c r="Z97" s="99">
        <v>0.2</v>
      </c>
      <c r="AA97" s="99" t="s">
        <v>484</v>
      </c>
      <c r="AB97" s="99" t="s">
        <v>485</v>
      </c>
    </row>
    <row r="98" spans="21:28">
      <c r="U98" s="202" t="s">
        <v>615</v>
      </c>
      <c r="V98" s="99">
        <v>200</v>
      </c>
      <c r="W98" s="99">
        <v>100</v>
      </c>
      <c r="X98" s="99">
        <v>200</v>
      </c>
      <c r="Y98" s="99">
        <v>150</v>
      </c>
      <c r="Z98" s="99">
        <v>0.2</v>
      </c>
      <c r="AA98" s="99" t="s">
        <v>484</v>
      </c>
      <c r="AB98" s="99" t="s">
        <v>485</v>
      </c>
    </row>
    <row r="99" spans="21:28" ht="30">
      <c r="U99" s="202" t="s">
        <v>616</v>
      </c>
      <c r="V99" s="99">
        <v>200</v>
      </c>
      <c r="W99" s="99">
        <v>100</v>
      </c>
      <c r="X99" s="99">
        <v>200</v>
      </c>
      <c r="Y99" s="99">
        <v>150</v>
      </c>
      <c r="Z99" s="99">
        <v>0.2</v>
      </c>
      <c r="AA99" s="99" t="s">
        <v>484</v>
      </c>
      <c r="AB99" s="99" t="s">
        <v>485</v>
      </c>
    </row>
    <row r="100" spans="21:28">
      <c r="U100" s="202" t="s">
        <v>617</v>
      </c>
      <c r="V100" s="99">
        <v>200</v>
      </c>
      <c r="W100" s="99">
        <v>100</v>
      </c>
      <c r="X100" s="99">
        <v>200</v>
      </c>
      <c r="Y100" s="99">
        <v>150</v>
      </c>
      <c r="Z100" s="99">
        <v>0.2</v>
      </c>
      <c r="AA100" s="99" t="s">
        <v>484</v>
      </c>
      <c r="AB100" s="99" t="s">
        <v>485</v>
      </c>
    </row>
    <row r="101" spans="21:28" ht="30">
      <c r="U101" s="202" t="s">
        <v>618</v>
      </c>
      <c r="V101" s="99">
        <v>200</v>
      </c>
      <c r="W101" s="99">
        <v>100</v>
      </c>
      <c r="X101" s="99">
        <v>200</v>
      </c>
      <c r="Y101" s="99">
        <v>150</v>
      </c>
      <c r="Z101" s="99">
        <v>0.2</v>
      </c>
      <c r="AA101" s="99" t="s">
        <v>484</v>
      </c>
      <c r="AB101" s="99" t="s">
        <v>485</v>
      </c>
    </row>
    <row r="102" spans="21:28" ht="30">
      <c r="U102" s="202" t="s">
        <v>619</v>
      </c>
      <c r="V102" s="99">
        <v>200</v>
      </c>
      <c r="W102" s="99">
        <v>100</v>
      </c>
      <c r="X102" s="99">
        <v>200</v>
      </c>
      <c r="Y102" s="99">
        <v>150</v>
      </c>
      <c r="Z102" s="99">
        <v>0.2</v>
      </c>
      <c r="AA102" s="99" t="s">
        <v>484</v>
      </c>
      <c r="AB102" s="99" t="s">
        <v>485</v>
      </c>
    </row>
    <row r="103" spans="21:28" ht="30">
      <c r="U103" s="202" t="s">
        <v>620</v>
      </c>
      <c r="V103" s="99">
        <v>200</v>
      </c>
      <c r="W103" s="99">
        <v>100</v>
      </c>
      <c r="X103" s="99">
        <v>200</v>
      </c>
      <c r="Y103" s="99">
        <v>150</v>
      </c>
      <c r="Z103" s="99">
        <v>0.2</v>
      </c>
      <c r="AA103" s="99" t="s">
        <v>484</v>
      </c>
      <c r="AB103" s="99" t="s">
        <v>485</v>
      </c>
    </row>
    <row r="104" spans="21:28">
      <c r="U104" s="202" t="s">
        <v>621</v>
      </c>
      <c r="V104" s="99">
        <v>200</v>
      </c>
      <c r="W104" s="99">
        <v>100</v>
      </c>
      <c r="X104" s="99">
        <v>200</v>
      </c>
      <c r="Y104" s="99">
        <v>150</v>
      </c>
      <c r="Z104" s="99">
        <v>0.2</v>
      </c>
      <c r="AA104" s="99" t="s">
        <v>484</v>
      </c>
      <c r="AB104" s="99" t="s">
        <v>485</v>
      </c>
    </row>
    <row r="105" spans="21:28">
      <c r="U105" s="202" t="s">
        <v>622</v>
      </c>
      <c r="V105" s="99">
        <v>200</v>
      </c>
      <c r="W105" s="99">
        <v>100</v>
      </c>
      <c r="X105" s="99">
        <v>200</v>
      </c>
      <c r="Y105" s="99">
        <v>150</v>
      </c>
      <c r="Z105" s="99">
        <v>0.2</v>
      </c>
      <c r="AA105" s="99" t="s">
        <v>484</v>
      </c>
      <c r="AB105" s="99" t="s">
        <v>485</v>
      </c>
    </row>
    <row r="106" spans="21:28">
      <c r="U106" s="202" t="s">
        <v>623</v>
      </c>
      <c r="V106" s="99">
        <v>200</v>
      </c>
      <c r="W106" s="99">
        <v>100</v>
      </c>
      <c r="X106" s="99">
        <v>200</v>
      </c>
      <c r="Y106" s="99">
        <v>150</v>
      </c>
      <c r="Z106" s="99">
        <v>0.2</v>
      </c>
      <c r="AA106" s="99" t="s">
        <v>484</v>
      </c>
      <c r="AB106" s="99" t="s">
        <v>485</v>
      </c>
    </row>
    <row r="107" spans="21:28">
      <c r="U107" s="202" t="s">
        <v>624</v>
      </c>
      <c r="V107" s="99">
        <v>200</v>
      </c>
      <c r="W107" s="99">
        <v>100</v>
      </c>
      <c r="X107" s="99">
        <v>200</v>
      </c>
      <c r="Y107" s="99">
        <v>150</v>
      </c>
      <c r="Z107" s="99">
        <v>0.2</v>
      </c>
      <c r="AA107" s="99" t="s">
        <v>484</v>
      </c>
      <c r="AB107" s="99" t="s">
        <v>485</v>
      </c>
    </row>
    <row r="108" spans="21:28">
      <c r="U108" s="202" t="s">
        <v>625</v>
      </c>
      <c r="V108" s="99">
        <v>200</v>
      </c>
      <c r="W108" s="99">
        <v>100</v>
      </c>
      <c r="X108" s="99">
        <v>200</v>
      </c>
      <c r="Y108" s="99">
        <v>150</v>
      </c>
      <c r="Z108" s="99">
        <v>0.2</v>
      </c>
      <c r="AA108" s="99" t="s">
        <v>484</v>
      </c>
      <c r="AB108" s="99" t="s">
        <v>485</v>
      </c>
    </row>
    <row r="109" spans="21:28" ht="30">
      <c r="U109" s="202" t="s">
        <v>626</v>
      </c>
      <c r="V109" s="99">
        <v>200</v>
      </c>
      <c r="W109" s="99">
        <v>100</v>
      </c>
      <c r="X109" s="99">
        <v>200</v>
      </c>
      <c r="Y109" s="99">
        <v>150</v>
      </c>
      <c r="Z109" s="99">
        <v>0.2</v>
      </c>
      <c r="AA109" s="99" t="s">
        <v>484</v>
      </c>
      <c r="AB109" s="99" t="s">
        <v>485</v>
      </c>
    </row>
    <row r="110" spans="21:28" ht="30">
      <c r="U110" s="202" t="s">
        <v>627</v>
      </c>
      <c r="V110" s="99">
        <v>200</v>
      </c>
      <c r="W110" s="99">
        <v>100</v>
      </c>
      <c r="X110" s="99">
        <v>200</v>
      </c>
      <c r="Y110" s="99">
        <v>150</v>
      </c>
      <c r="Z110" s="99">
        <v>0.2</v>
      </c>
      <c r="AA110" s="99" t="s">
        <v>484</v>
      </c>
      <c r="AB110" s="99" t="s">
        <v>485</v>
      </c>
    </row>
    <row r="111" spans="21:28">
      <c r="U111" s="202" t="s">
        <v>628</v>
      </c>
      <c r="V111" s="99">
        <v>200</v>
      </c>
      <c r="W111" s="99">
        <v>100</v>
      </c>
      <c r="X111" s="99">
        <v>200</v>
      </c>
      <c r="Y111" s="99">
        <v>150</v>
      </c>
      <c r="Z111" s="99">
        <v>0.2</v>
      </c>
      <c r="AA111" s="99" t="s">
        <v>484</v>
      </c>
      <c r="AB111" s="99" t="s">
        <v>485</v>
      </c>
    </row>
    <row r="112" spans="21:28">
      <c r="U112" s="202" t="s">
        <v>629</v>
      </c>
      <c r="V112" s="99">
        <v>200</v>
      </c>
      <c r="W112" s="99">
        <v>100</v>
      </c>
      <c r="X112" s="99">
        <v>200</v>
      </c>
      <c r="Y112" s="99">
        <v>150</v>
      </c>
      <c r="Z112" s="99">
        <v>0.2</v>
      </c>
      <c r="AA112" s="99" t="s">
        <v>484</v>
      </c>
      <c r="AB112" s="99" t="s">
        <v>485</v>
      </c>
    </row>
    <row r="113" spans="21:28" ht="75">
      <c r="U113" s="202" t="s">
        <v>630</v>
      </c>
      <c r="V113" s="99">
        <v>200</v>
      </c>
      <c r="W113" s="99">
        <v>100</v>
      </c>
      <c r="X113" s="99">
        <v>200</v>
      </c>
      <c r="Y113" s="99">
        <v>150</v>
      </c>
      <c r="Z113" s="99">
        <v>0.2</v>
      </c>
      <c r="AA113" s="99" t="s">
        <v>484</v>
      </c>
      <c r="AB113" s="99" t="s">
        <v>485</v>
      </c>
    </row>
    <row r="114" spans="21:28">
      <c r="U114" s="202" t="s">
        <v>631</v>
      </c>
      <c r="V114" s="99">
        <v>200</v>
      </c>
      <c r="W114" s="99">
        <v>100</v>
      </c>
      <c r="X114" s="99">
        <v>200</v>
      </c>
      <c r="Y114" s="99">
        <v>150</v>
      </c>
      <c r="Z114" s="99">
        <v>0.2</v>
      </c>
      <c r="AA114" s="99" t="s">
        <v>484</v>
      </c>
      <c r="AB114" s="99" t="s">
        <v>485</v>
      </c>
    </row>
    <row r="115" spans="21:28">
      <c r="U115" s="202" t="s">
        <v>632</v>
      </c>
      <c r="V115" s="99">
        <v>200</v>
      </c>
      <c r="W115" s="99">
        <v>100</v>
      </c>
      <c r="X115" s="99">
        <v>200</v>
      </c>
      <c r="Y115" s="99">
        <v>150</v>
      </c>
      <c r="Z115" s="99">
        <v>0.2</v>
      </c>
      <c r="AA115" s="99" t="s">
        <v>484</v>
      </c>
      <c r="AB115" s="99" t="s">
        <v>485</v>
      </c>
    </row>
    <row r="116" spans="21:28" ht="30">
      <c r="U116" s="202" t="s">
        <v>633</v>
      </c>
      <c r="V116" s="99">
        <v>200</v>
      </c>
      <c r="W116" s="99">
        <v>100</v>
      </c>
      <c r="X116" s="99">
        <v>200</v>
      </c>
      <c r="Y116" s="99">
        <v>150</v>
      </c>
      <c r="Z116" s="99">
        <v>0.2</v>
      </c>
      <c r="AA116" s="99" t="s">
        <v>484</v>
      </c>
      <c r="AB116" s="99" t="s">
        <v>485</v>
      </c>
    </row>
    <row r="117" spans="21:28">
      <c r="U117" s="202" t="s">
        <v>634</v>
      </c>
      <c r="V117" s="99">
        <v>200</v>
      </c>
      <c r="W117" s="99">
        <v>100</v>
      </c>
      <c r="X117" s="99">
        <v>200</v>
      </c>
      <c r="Y117" s="99">
        <v>150</v>
      </c>
      <c r="Z117" s="99">
        <v>0.2</v>
      </c>
      <c r="AA117" s="99" t="s">
        <v>484</v>
      </c>
      <c r="AB117" s="99" t="s">
        <v>485</v>
      </c>
    </row>
    <row r="118" spans="21:28" ht="30">
      <c r="U118" s="202" t="s">
        <v>635</v>
      </c>
      <c r="V118" s="99">
        <v>200</v>
      </c>
      <c r="W118" s="99">
        <v>100</v>
      </c>
      <c r="X118" s="99">
        <v>200</v>
      </c>
      <c r="Y118" s="99">
        <v>150</v>
      </c>
      <c r="Z118" s="99">
        <v>0.2</v>
      </c>
      <c r="AA118" s="99" t="s">
        <v>484</v>
      </c>
      <c r="AB118" s="99" t="s">
        <v>485</v>
      </c>
    </row>
    <row r="119" spans="21:28">
      <c r="U119" s="202" t="s">
        <v>636</v>
      </c>
      <c r="V119" s="99">
        <v>200</v>
      </c>
      <c r="W119" s="99">
        <v>100</v>
      </c>
      <c r="X119" s="99">
        <v>200</v>
      </c>
      <c r="Y119" s="99">
        <v>150</v>
      </c>
      <c r="Z119" s="99">
        <v>0.2</v>
      </c>
      <c r="AA119" s="99" t="s">
        <v>484</v>
      </c>
      <c r="AB119" s="99" t="s">
        <v>485</v>
      </c>
    </row>
    <row r="120" spans="21:28">
      <c r="U120" s="202" t="s">
        <v>637</v>
      </c>
      <c r="V120" s="99">
        <v>200</v>
      </c>
      <c r="W120" s="99">
        <v>100</v>
      </c>
      <c r="X120" s="99">
        <v>200</v>
      </c>
      <c r="Y120" s="99">
        <v>150</v>
      </c>
      <c r="Z120" s="99">
        <v>0.2</v>
      </c>
      <c r="AA120" s="99" t="s">
        <v>484</v>
      </c>
      <c r="AB120" s="99" t="s">
        <v>485</v>
      </c>
    </row>
    <row r="121" spans="21:28">
      <c r="U121" s="202" t="s">
        <v>638</v>
      </c>
      <c r="V121" s="99">
        <v>200</v>
      </c>
      <c r="W121" s="99">
        <v>100</v>
      </c>
      <c r="X121" s="99">
        <v>200</v>
      </c>
      <c r="Y121" s="99">
        <v>150</v>
      </c>
      <c r="Z121" s="99">
        <v>0.2</v>
      </c>
      <c r="AA121" s="99" t="s">
        <v>484</v>
      </c>
      <c r="AB121" s="99" t="s">
        <v>485</v>
      </c>
    </row>
    <row r="122" spans="21:28">
      <c r="U122" s="202" t="s">
        <v>639</v>
      </c>
      <c r="V122" s="99">
        <v>200</v>
      </c>
      <c r="W122" s="99">
        <v>100</v>
      </c>
      <c r="X122" s="99">
        <v>200</v>
      </c>
      <c r="Y122" s="99">
        <v>150</v>
      </c>
      <c r="Z122" s="99">
        <v>0.2</v>
      </c>
      <c r="AA122" s="99" t="s">
        <v>484</v>
      </c>
      <c r="AB122" s="99" t="s">
        <v>485</v>
      </c>
    </row>
    <row r="123" spans="21:28" ht="30">
      <c r="U123" s="202" t="s">
        <v>640</v>
      </c>
      <c r="V123" s="99">
        <v>200</v>
      </c>
      <c r="W123" s="99">
        <v>100</v>
      </c>
      <c r="X123" s="99">
        <v>200</v>
      </c>
      <c r="Y123" s="99">
        <v>150</v>
      </c>
      <c r="Z123" s="99">
        <v>0.2</v>
      </c>
      <c r="AA123" s="99" t="s">
        <v>484</v>
      </c>
      <c r="AB123" s="99" t="s">
        <v>485</v>
      </c>
    </row>
    <row r="124" spans="21:28" ht="30">
      <c r="U124" s="202" t="s">
        <v>641</v>
      </c>
      <c r="V124" s="99">
        <v>200</v>
      </c>
      <c r="W124" s="99">
        <v>100</v>
      </c>
      <c r="X124" s="99">
        <v>200</v>
      </c>
      <c r="Y124" s="99">
        <v>150</v>
      </c>
      <c r="Z124" s="99">
        <v>0.2</v>
      </c>
      <c r="AA124" s="99" t="s">
        <v>484</v>
      </c>
      <c r="AB124" s="99" t="s">
        <v>485</v>
      </c>
    </row>
    <row r="125" spans="21:28">
      <c r="U125" s="202" t="s">
        <v>642</v>
      </c>
      <c r="V125" s="99">
        <v>200</v>
      </c>
      <c r="W125" s="99">
        <v>100</v>
      </c>
      <c r="X125" s="99">
        <v>200</v>
      </c>
      <c r="Y125" s="99">
        <v>150</v>
      </c>
      <c r="Z125" s="99">
        <v>0.2</v>
      </c>
      <c r="AA125" s="99" t="s">
        <v>484</v>
      </c>
      <c r="AB125" s="99" t="s">
        <v>485</v>
      </c>
    </row>
    <row r="126" spans="21:28">
      <c r="U126" s="202" t="s">
        <v>643</v>
      </c>
      <c r="V126" s="99">
        <v>200</v>
      </c>
      <c r="W126" s="99">
        <v>100</v>
      </c>
      <c r="X126" s="99">
        <v>200</v>
      </c>
      <c r="Y126" s="99">
        <v>150</v>
      </c>
      <c r="Z126" s="99">
        <v>0.2</v>
      </c>
      <c r="AA126" s="99" t="s">
        <v>484</v>
      </c>
      <c r="AB126" s="99" t="s">
        <v>485</v>
      </c>
    </row>
    <row r="127" spans="21:28">
      <c r="U127" s="202" t="s">
        <v>644</v>
      </c>
      <c r="V127" s="99">
        <v>200</v>
      </c>
      <c r="W127" s="99">
        <v>100</v>
      </c>
      <c r="X127" s="99">
        <v>200</v>
      </c>
      <c r="Y127" s="99">
        <v>150</v>
      </c>
      <c r="Z127" s="99">
        <v>0.2</v>
      </c>
      <c r="AA127" s="99" t="s">
        <v>484</v>
      </c>
      <c r="AB127" s="99" t="s">
        <v>485</v>
      </c>
    </row>
    <row r="128" spans="21:28">
      <c r="U128" s="202" t="s">
        <v>645</v>
      </c>
      <c r="V128" s="99">
        <v>200</v>
      </c>
      <c r="W128" s="99">
        <v>100</v>
      </c>
      <c r="X128" s="99">
        <v>200</v>
      </c>
      <c r="Y128" s="99">
        <v>150</v>
      </c>
      <c r="Z128" s="99">
        <v>0.2</v>
      </c>
      <c r="AA128" s="99" t="s">
        <v>484</v>
      </c>
      <c r="AB128" s="99" t="s">
        <v>485</v>
      </c>
    </row>
    <row r="129" spans="21:28">
      <c r="U129" s="202" t="s">
        <v>646</v>
      </c>
      <c r="V129" s="99">
        <v>200</v>
      </c>
      <c r="W129" s="99">
        <v>100</v>
      </c>
      <c r="X129" s="99">
        <v>200</v>
      </c>
      <c r="Y129" s="99">
        <v>150</v>
      </c>
      <c r="Z129" s="99">
        <v>0.2</v>
      </c>
      <c r="AA129" s="99" t="s">
        <v>484</v>
      </c>
      <c r="AB129" s="99" t="s">
        <v>485</v>
      </c>
    </row>
    <row r="130" spans="21:28">
      <c r="U130" s="202" t="s">
        <v>647</v>
      </c>
      <c r="V130" s="99">
        <v>200</v>
      </c>
      <c r="W130" s="99">
        <v>100</v>
      </c>
      <c r="X130" s="99">
        <v>200</v>
      </c>
      <c r="Y130" s="99">
        <v>150</v>
      </c>
      <c r="Z130" s="99">
        <v>0.2</v>
      </c>
      <c r="AA130" s="99" t="s">
        <v>484</v>
      </c>
      <c r="AB130" s="99" t="s">
        <v>485</v>
      </c>
    </row>
    <row r="131" spans="21:28">
      <c r="U131" s="202" t="s">
        <v>648</v>
      </c>
      <c r="V131" s="99">
        <v>200</v>
      </c>
      <c r="W131" s="99">
        <v>100</v>
      </c>
      <c r="X131" s="99">
        <v>200</v>
      </c>
      <c r="Y131" s="99">
        <v>150</v>
      </c>
      <c r="Z131" s="99">
        <v>0.2</v>
      </c>
      <c r="AA131" s="99" t="s">
        <v>484</v>
      </c>
      <c r="AB131" s="99" t="s">
        <v>485</v>
      </c>
    </row>
    <row r="132" spans="21:28">
      <c r="U132" s="202" t="s">
        <v>649</v>
      </c>
      <c r="V132" s="99">
        <v>200</v>
      </c>
      <c r="W132" s="99">
        <v>100</v>
      </c>
      <c r="X132" s="99">
        <v>200</v>
      </c>
      <c r="Y132" s="99">
        <v>150</v>
      </c>
      <c r="Z132" s="99">
        <v>0.2</v>
      </c>
      <c r="AA132" s="99" t="s">
        <v>484</v>
      </c>
      <c r="AB132" s="99" t="s">
        <v>485</v>
      </c>
    </row>
    <row r="133" spans="21:28" ht="45">
      <c r="U133" s="202" t="s">
        <v>650</v>
      </c>
      <c r="V133" s="99">
        <v>200</v>
      </c>
      <c r="W133" s="99">
        <v>100</v>
      </c>
      <c r="X133" s="99">
        <v>200</v>
      </c>
      <c r="Y133" s="99">
        <v>150</v>
      </c>
      <c r="Z133" s="99">
        <v>0.2</v>
      </c>
      <c r="AA133" s="99" t="s">
        <v>484</v>
      </c>
      <c r="AB133" s="99" t="s">
        <v>485</v>
      </c>
    </row>
    <row r="134" spans="21:28">
      <c r="U134" s="202" t="s">
        <v>651</v>
      </c>
      <c r="V134" s="99">
        <v>200</v>
      </c>
      <c r="W134" s="99">
        <v>100</v>
      </c>
      <c r="X134" s="99">
        <v>200</v>
      </c>
      <c r="Y134" s="99">
        <v>150</v>
      </c>
      <c r="Z134" s="99">
        <v>0.2</v>
      </c>
      <c r="AA134" s="99" t="s">
        <v>484</v>
      </c>
      <c r="AB134" s="99" t="s">
        <v>485</v>
      </c>
    </row>
    <row r="135" spans="21:28">
      <c r="U135" s="202" t="s">
        <v>652</v>
      </c>
      <c r="V135" s="99">
        <v>200</v>
      </c>
      <c r="W135" s="99">
        <v>100</v>
      </c>
      <c r="X135" s="99">
        <v>200</v>
      </c>
      <c r="Y135" s="99">
        <v>150</v>
      </c>
      <c r="Z135" s="99">
        <v>0.2</v>
      </c>
      <c r="AA135" s="99" t="s">
        <v>484</v>
      </c>
      <c r="AB135" s="99" t="s">
        <v>485</v>
      </c>
    </row>
    <row r="136" spans="21:28" ht="30">
      <c r="U136" s="202" t="s">
        <v>653</v>
      </c>
      <c r="V136" s="99">
        <v>200</v>
      </c>
      <c r="W136" s="99">
        <v>100</v>
      </c>
      <c r="X136" s="99">
        <v>200</v>
      </c>
      <c r="Y136" s="99">
        <v>150</v>
      </c>
      <c r="Z136" s="99">
        <v>0.2</v>
      </c>
      <c r="AA136" s="99" t="s">
        <v>484</v>
      </c>
      <c r="AB136" s="99" t="s">
        <v>485</v>
      </c>
    </row>
    <row r="137" spans="21:28">
      <c r="U137" s="202" t="s">
        <v>654</v>
      </c>
      <c r="V137" s="99">
        <v>200</v>
      </c>
      <c r="W137" s="99">
        <v>100</v>
      </c>
      <c r="X137" s="99">
        <v>200</v>
      </c>
      <c r="Y137" s="99">
        <v>150</v>
      </c>
      <c r="Z137" s="99">
        <v>0.2</v>
      </c>
      <c r="AA137" s="99" t="s">
        <v>484</v>
      </c>
      <c r="AB137" s="99" t="s">
        <v>485</v>
      </c>
    </row>
    <row r="138" spans="21:28">
      <c r="U138" s="202" t="s">
        <v>655</v>
      </c>
      <c r="V138" s="99">
        <v>200</v>
      </c>
      <c r="W138" s="99">
        <v>100</v>
      </c>
      <c r="X138" s="99">
        <v>200</v>
      </c>
      <c r="Y138" s="99">
        <v>150</v>
      </c>
      <c r="Z138" s="99">
        <v>0.2</v>
      </c>
      <c r="AA138" s="99" t="s">
        <v>484</v>
      </c>
      <c r="AB138" s="99" t="s">
        <v>485</v>
      </c>
    </row>
    <row r="139" spans="21:28">
      <c r="U139" s="202" t="s">
        <v>656</v>
      </c>
      <c r="V139" s="99">
        <v>200</v>
      </c>
      <c r="W139" s="99">
        <v>100</v>
      </c>
      <c r="X139" s="99">
        <v>200</v>
      </c>
      <c r="Y139" s="99">
        <v>150</v>
      </c>
      <c r="Z139" s="99">
        <v>0.2</v>
      </c>
      <c r="AA139" s="99" t="s">
        <v>484</v>
      </c>
      <c r="AB139" s="99" t="s">
        <v>485</v>
      </c>
    </row>
    <row r="140" spans="21:28" ht="60">
      <c r="U140" s="202" t="s">
        <v>657</v>
      </c>
      <c r="V140" s="99">
        <v>200</v>
      </c>
      <c r="W140" s="99">
        <v>100</v>
      </c>
      <c r="X140" s="99">
        <v>200</v>
      </c>
      <c r="Y140" s="99">
        <v>150</v>
      </c>
      <c r="Z140" s="99">
        <v>0.2</v>
      </c>
      <c r="AA140" s="99" t="s">
        <v>484</v>
      </c>
      <c r="AB140" s="99" t="s">
        <v>485</v>
      </c>
    </row>
    <row r="141" spans="21:28" ht="45">
      <c r="U141" s="202" t="s">
        <v>658</v>
      </c>
      <c r="V141" s="99">
        <v>200</v>
      </c>
      <c r="W141" s="99">
        <v>100</v>
      </c>
      <c r="X141" s="99">
        <v>200</v>
      </c>
      <c r="Y141" s="99">
        <v>150</v>
      </c>
      <c r="Z141" s="99">
        <v>0.2</v>
      </c>
      <c r="AA141" s="99" t="s">
        <v>484</v>
      </c>
      <c r="AB141" s="99" t="s">
        <v>485</v>
      </c>
    </row>
    <row r="142" spans="21:28">
      <c r="U142" s="202" t="s">
        <v>659</v>
      </c>
      <c r="V142" s="99">
        <v>200</v>
      </c>
      <c r="W142" s="99">
        <v>100</v>
      </c>
      <c r="X142" s="99">
        <v>200</v>
      </c>
      <c r="Y142" s="99">
        <v>150</v>
      </c>
      <c r="Z142" s="99">
        <v>0.2</v>
      </c>
      <c r="AA142" s="99" t="s">
        <v>484</v>
      </c>
      <c r="AB142" s="99" t="s">
        <v>485</v>
      </c>
    </row>
    <row r="143" spans="21:28" ht="45">
      <c r="U143" s="202" t="s">
        <v>660</v>
      </c>
      <c r="V143" s="99">
        <v>200</v>
      </c>
      <c r="W143" s="99">
        <v>100</v>
      </c>
      <c r="X143" s="99">
        <v>200</v>
      </c>
      <c r="Y143" s="99">
        <v>150</v>
      </c>
      <c r="Z143" s="99">
        <v>0.2</v>
      </c>
      <c r="AA143" s="99" t="s">
        <v>484</v>
      </c>
      <c r="AB143" s="99" t="s">
        <v>485</v>
      </c>
    </row>
    <row r="144" spans="21:28">
      <c r="U144" s="202" t="s">
        <v>661</v>
      </c>
      <c r="V144" s="99">
        <v>200</v>
      </c>
      <c r="W144" s="99">
        <v>100</v>
      </c>
      <c r="X144" s="99">
        <v>200</v>
      </c>
      <c r="Y144" s="99">
        <v>150</v>
      </c>
      <c r="Z144" s="99">
        <v>0.2</v>
      </c>
      <c r="AA144" s="99" t="s">
        <v>484</v>
      </c>
      <c r="AB144" s="99" t="s">
        <v>485</v>
      </c>
    </row>
    <row r="145" spans="21:28" ht="45">
      <c r="U145" s="202" t="s">
        <v>662</v>
      </c>
      <c r="V145" s="99">
        <v>200</v>
      </c>
      <c r="W145" s="99">
        <v>100</v>
      </c>
      <c r="X145" s="99">
        <v>200</v>
      </c>
      <c r="Y145" s="99">
        <v>150</v>
      </c>
      <c r="Z145" s="99">
        <v>0.2</v>
      </c>
      <c r="AA145" s="99" t="s">
        <v>484</v>
      </c>
      <c r="AB145" s="99" t="s">
        <v>485</v>
      </c>
    </row>
    <row r="146" spans="21:28" ht="30">
      <c r="U146" s="202" t="s">
        <v>663</v>
      </c>
      <c r="V146" s="99">
        <v>200</v>
      </c>
      <c r="W146" s="99">
        <v>100</v>
      </c>
      <c r="X146" s="99">
        <v>200</v>
      </c>
      <c r="Y146" s="99">
        <v>150</v>
      </c>
      <c r="Z146" s="99">
        <v>0.2</v>
      </c>
      <c r="AA146" s="99" t="s">
        <v>484</v>
      </c>
      <c r="AB146" s="99" t="s">
        <v>485</v>
      </c>
    </row>
    <row r="147" spans="21:28" ht="75">
      <c r="U147" s="202" t="s">
        <v>664</v>
      </c>
      <c r="V147" s="99">
        <v>200</v>
      </c>
      <c r="W147" s="99">
        <v>100</v>
      </c>
      <c r="X147" s="99">
        <v>200</v>
      </c>
      <c r="Y147" s="99">
        <v>150</v>
      </c>
      <c r="Z147" s="99">
        <v>0.2</v>
      </c>
      <c r="AA147" s="99" t="s">
        <v>484</v>
      </c>
      <c r="AB147" s="99" t="s">
        <v>485</v>
      </c>
    </row>
    <row r="148" spans="21:28">
      <c r="U148" s="202" t="s">
        <v>665</v>
      </c>
      <c r="V148" s="99">
        <v>200</v>
      </c>
      <c r="W148" s="99">
        <v>100</v>
      </c>
      <c r="X148" s="99">
        <v>200</v>
      </c>
      <c r="Y148" s="99">
        <v>150</v>
      </c>
      <c r="Z148" s="99">
        <v>0.2</v>
      </c>
      <c r="AA148" s="99" t="s">
        <v>484</v>
      </c>
      <c r="AB148" s="99" t="s">
        <v>485</v>
      </c>
    </row>
    <row r="149" spans="21:28" ht="30">
      <c r="U149" s="202" t="s">
        <v>666</v>
      </c>
      <c r="V149" s="99">
        <v>200</v>
      </c>
      <c r="W149" s="99">
        <v>100</v>
      </c>
      <c r="X149" s="99">
        <v>200</v>
      </c>
      <c r="Y149" s="99">
        <v>150</v>
      </c>
      <c r="Z149" s="99">
        <v>0.2</v>
      </c>
      <c r="AA149" s="99" t="s">
        <v>484</v>
      </c>
      <c r="AB149" s="99" t="s">
        <v>485</v>
      </c>
    </row>
    <row r="150" spans="21:28" ht="45">
      <c r="U150" s="202" t="s">
        <v>667</v>
      </c>
      <c r="V150" s="99">
        <v>200</v>
      </c>
      <c r="W150" s="99">
        <v>100</v>
      </c>
      <c r="X150" s="99">
        <v>200</v>
      </c>
      <c r="Y150" s="99">
        <v>150</v>
      </c>
      <c r="Z150" s="99">
        <v>0.2</v>
      </c>
      <c r="AA150" s="99" t="s">
        <v>484</v>
      </c>
      <c r="AB150" s="99" t="s">
        <v>485</v>
      </c>
    </row>
    <row r="151" spans="21:28" ht="30">
      <c r="U151" s="202" t="s">
        <v>668</v>
      </c>
      <c r="V151" s="99">
        <v>200</v>
      </c>
      <c r="W151" s="99">
        <v>100</v>
      </c>
      <c r="X151" s="99">
        <v>200</v>
      </c>
      <c r="Y151" s="99">
        <v>150</v>
      </c>
      <c r="Z151" s="99">
        <v>0.2</v>
      </c>
      <c r="AA151" s="99" t="s">
        <v>484</v>
      </c>
      <c r="AB151" s="99" t="s">
        <v>485</v>
      </c>
    </row>
    <row r="152" spans="21:28">
      <c r="U152" s="202" t="s">
        <v>669</v>
      </c>
      <c r="V152" s="99">
        <v>200</v>
      </c>
      <c r="W152" s="99">
        <v>100</v>
      </c>
      <c r="X152" s="99">
        <v>200</v>
      </c>
      <c r="Y152" s="99">
        <v>150</v>
      </c>
      <c r="Z152" s="99">
        <v>0.2</v>
      </c>
      <c r="AA152" s="99" t="s">
        <v>484</v>
      </c>
      <c r="AB152" s="99" t="s">
        <v>485</v>
      </c>
    </row>
    <row r="153" spans="21:28">
      <c r="U153" s="202" t="s">
        <v>670</v>
      </c>
      <c r="V153" s="99">
        <v>200</v>
      </c>
      <c r="W153" s="99">
        <v>100</v>
      </c>
      <c r="X153" s="99">
        <v>200</v>
      </c>
      <c r="Y153" s="99">
        <v>150</v>
      </c>
      <c r="Z153" s="99">
        <v>0.2</v>
      </c>
      <c r="AA153" s="99" t="s">
        <v>484</v>
      </c>
      <c r="AB153" s="99" t="s">
        <v>485</v>
      </c>
    </row>
    <row r="154" spans="21:28" ht="30">
      <c r="U154" s="202" t="s">
        <v>671</v>
      </c>
      <c r="V154" s="99">
        <v>200</v>
      </c>
      <c r="W154" s="99">
        <v>100</v>
      </c>
      <c r="X154" s="99">
        <v>200</v>
      </c>
      <c r="Y154" s="99">
        <v>150</v>
      </c>
      <c r="Z154" s="99">
        <v>0.2</v>
      </c>
      <c r="AA154" s="99" t="s">
        <v>484</v>
      </c>
      <c r="AB154" s="99" t="s">
        <v>485</v>
      </c>
    </row>
    <row r="155" spans="21:28" ht="30">
      <c r="U155" s="202" t="s">
        <v>672</v>
      </c>
      <c r="V155" s="99">
        <v>200</v>
      </c>
      <c r="W155" s="99">
        <v>100</v>
      </c>
      <c r="X155" s="99">
        <v>200</v>
      </c>
      <c r="Y155" s="99">
        <v>150</v>
      </c>
      <c r="Z155" s="99">
        <v>0.2</v>
      </c>
      <c r="AA155" s="99" t="s">
        <v>484</v>
      </c>
      <c r="AB155" s="99" t="s">
        <v>485</v>
      </c>
    </row>
    <row r="156" spans="21:28">
      <c r="U156" s="202" t="s">
        <v>673</v>
      </c>
      <c r="V156" s="99">
        <v>200</v>
      </c>
      <c r="W156" s="99">
        <v>100</v>
      </c>
      <c r="X156" s="99">
        <v>200</v>
      </c>
      <c r="Y156" s="99">
        <v>150</v>
      </c>
      <c r="Z156" s="99">
        <v>0.2</v>
      </c>
      <c r="AA156" s="99" t="s">
        <v>484</v>
      </c>
      <c r="AB156" s="99" t="s">
        <v>485</v>
      </c>
    </row>
    <row r="157" spans="21:28">
      <c r="U157" s="202" t="s">
        <v>674</v>
      </c>
      <c r="V157" s="99">
        <v>200</v>
      </c>
      <c r="W157" s="99">
        <v>100</v>
      </c>
      <c r="X157" s="99">
        <v>200</v>
      </c>
      <c r="Y157" s="99">
        <v>150</v>
      </c>
      <c r="Z157" s="99">
        <v>0.2</v>
      </c>
      <c r="AA157" s="99" t="s">
        <v>484</v>
      </c>
      <c r="AB157" s="99" t="s">
        <v>485</v>
      </c>
    </row>
    <row r="158" spans="21:28">
      <c r="U158" s="202" t="s">
        <v>675</v>
      </c>
      <c r="V158" s="99">
        <v>200</v>
      </c>
      <c r="W158" s="99">
        <v>100</v>
      </c>
      <c r="X158" s="99">
        <v>200</v>
      </c>
      <c r="Y158" s="99">
        <v>150</v>
      </c>
      <c r="Z158" s="99">
        <v>0.2</v>
      </c>
      <c r="AA158" s="99" t="s">
        <v>484</v>
      </c>
      <c r="AB158" s="99" t="s">
        <v>485</v>
      </c>
    </row>
    <row r="159" spans="21:28" ht="30">
      <c r="U159" s="202" t="s">
        <v>676</v>
      </c>
      <c r="V159" s="99">
        <v>200</v>
      </c>
      <c r="W159" s="99">
        <v>100</v>
      </c>
      <c r="X159" s="99">
        <v>200</v>
      </c>
      <c r="Y159" s="99">
        <v>150</v>
      </c>
      <c r="Z159" s="99">
        <v>0.2</v>
      </c>
      <c r="AA159" s="99" t="s">
        <v>484</v>
      </c>
      <c r="AB159" s="99" t="s">
        <v>485</v>
      </c>
    </row>
    <row r="160" spans="21:28">
      <c r="U160" s="202" t="s">
        <v>677</v>
      </c>
      <c r="V160" s="99">
        <v>200</v>
      </c>
      <c r="W160" s="99">
        <v>100</v>
      </c>
      <c r="X160" s="99">
        <v>200</v>
      </c>
      <c r="Y160" s="99">
        <v>150</v>
      </c>
      <c r="Z160" s="99">
        <v>0.2</v>
      </c>
      <c r="AA160" s="99" t="s">
        <v>484</v>
      </c>
      <c r="AB160" s="99" t="s">
        <v>485</v>
      </c>
    </row>
    <row r="161" spans="21:28" ht="30">
      <c r="U161" s="202" t="s">
        <v>678</v>
      </c>
      <c r="V161" s="99">
        <v>200</v>
      </c>
      <c r="W161" s="99">
        <v>100</v>
      </c>
      <c r="X161" s="99">
        <v>200</v>
      </c>
      <c r="Y161" s="99">
        <v>150</v>
      </c>
      <c r="Z161" s="99">
        <v>0.2</v>
      </c>
      <c r="AA161" s="99" t="s">
        <v>484</v>
      </c>
      <c r="AB161" s="99" t="s">
        <v>485</v>
      </c>
    </row>
    <row r="162" spans="21:28" ht="30">
      <c r="U162" s="202" t="s">
        <v>679</v>
      </c>
      <c r="V162" s="99">
        <v>200</v>
      </c>
      <c r="W162" s="99">
        <v>100</v>
      </c>
      <c r="X162" s="99">
        <v>200</v>
      </c>
      <c r="Y162" s="99">
        <v>150</v>
      </c>
      <c r="Z162" s="99">
        <v>0.2</v>
      </c>
      <c r="AA162" s="99" t="s">
        <v>484</v>
      </c>
      <c r="AB162" s="99" t="s">
        <v>485</v>
      </c>
    </row>
    <row r="163" spans="21:28">
      <c r="U163" s="202" t="s">
        <v>680</v>
      </c>
      <c r="V163" s="99">
        <v>200</v>
      </c>
      <c r="W163" s="99">
        <v>100</v>
      </c>
      <c r="X163" s="99">
        <v>200</v>
      </c>
      <c r="Y163" s="99">
        <v>150</v>
      </c>
      <c r="Z163" s="99">
        <v>0.2</v>
      </c>
      <c r="AA163" s="99" t="s">
        <v>484</v>
      </c>
      <c r="AB163" s="99" t="s">
        <v>485</v>
      </c>
    </row>
    <row r="164" spans="21:28">
      <c r="U164" s="202" t="s">
        <v>681</v>
      </c>
      <c r="V164" s="99">
        <v>200</v>
      </c>
      <c r="W164" s="99">
        <v>100</v>
      </c>
      <c r="X164" s="99">
        <v>200</v>
      </c>
      <c r="Y164" s="99">
        <v>150</v>
      </c>
      <c r="Z164" s="99">
        <v>0.2</v>
      </c>
      <c r="AA164" s="99" t="s">
        <v>484</v>
      </c>
      <c r="AB164" s="99" t="s">
        <v>485</v>
      </c>
    </row>
    <row r="165" spans="21:28">
      <c r="U165" s="202" t="s">
        <v>682</v>
      </c>
      <c r="V165" s="99">
        <v>200</v>
      </c>
      <c r="W165" s="99">
        <v>100</v>
      </c>
      <c r="X165" s="99">
        <v>200</v>
      </c>
      <c r="Y165" s="99">
        <v>150</v>
      </c>
      <c r="Z165" s="99">
        <v>0.2</v>
      </c>
      <c r="AA165" s="99" t="s">
        <v>484</v>
      </c>
      <c r="AB165" s="99" t="s">
        <v>485</v>
      </c>
    </row>
    <row r="166" spans="21:28">
      <c r="U166" s="202" t="s">
        <v>683</v>
      </c>
      <c r="V166" s="99">
        <v>200</v>
      </c>
      <c r="W166" s="99">
        <v>100</v>
      </c>
      <c r="X166" s="99">
        <v>200</v>
      </c>
      <c r="Y166" s="99">
        <v>150</v>
      </c>
      <c r="Z166" s="99">
        <v>0.2</v>
      </c>
      <c r="AA166" s="99" t="s">
        <v>484</v>
      </c>
      <c r="AB166" s="99" t="s">
        <v>485</v>
      </c>
    </row>
    <row r="167" spans="21:28">
      <c r="U167" s="202" t="s">
        <v>684</v>
      </c>
      <c r="V167" s="99">
        <v>200</v>
      </c>
      <c r="W167" s="99">
        <v>100</v>
      </c>
      <c r="X167" s="99">
        <v>200</v>
      </c>
      <c r="Y167" s="99">
        <v>150</v>
      </c>
      <c r="Z167" s="99">
        <v>0.2</v>
      </c>
      <c r="AA167" s="99" t="s">
        <v>484</v>
      </c>
      <c r="AB167" s="99" t="s">
        <v>485</v>
      </c>
    </row>
    <row r="168" spans="21:28">
      <c r="U168" s="202" t="s">
        <v>685</v>
      </c>
      <c r="V168" s="99">
        <v>200</v>
      </c>
      <c r="W168" s="99">
        <v>100</v>
      </c>
      <c r="X168" s="99">
        <v>200</v>
      </c>
      <c r="Y168" s="99">
        <v>150</v>
      </c>
      <c r="Z168" s="99">
        <v>0.2</v>
      </c>
      <c r="AA168" s="99" t="s">
        <v>484</v>
      </c>
      <c r="AB168" s="99" t="s">
        <v>485</v>
      </c>
    </row>
    <row r="169" spans="21:28" ht="30">
      <c r="U169" s="202" t="s">
        <v>686</v>
      </c>
      <c r="V169" s="99">
        <v>200</v>
      </c>
      <c r="W169" s="99">
        <v>100</v>
      </c>
      <c r="X169" s="99">
        <v>200</v>
      </c>
      <c r="Y169" s="99">
        <v>150</v>
      </c>
      <c r="Z169" s="99">
        <v>0.2</v>
      </c>
      <c r="AA169" s="99" t="s">
        <v>484</v>
      </c>
      <c r="AB169" s="99" t="s">
        <v>485</v>
      </c>
    </row>
    <row r="170" spans="21:28" ht="45">
      <c r="U170" s="202" t="s">
        <v>687</v>
      </c>
      <c r="V170" s="99">
        <v>200</v>
      </c>
      <c r="W170" s="99">
        <v>100</v>
      </c>
      <c r="X170" s="99">
        <v>200</v>
      </c>
      <c r="Y170" s="99">
        <v>150</v>
      </c>
      <c r="Z170" s="99">
        <v>0.2</v>
      </c>
      <c r="AA170" s="99" t="s">
        <v>484</v>
      </c>
      <c r="AB170" s="99" t="s">
        <v>485</v>
      </c>
    </row>
    <row r="171" spans="21:28">
      <c r="U171" s="202" t="s">
        <v>688</v>
      </c>
      <c r="V171" s="99">
        <v>200</v>
      </c>
      <c r="W171" s="99">
        <v>100</v>
      </c>
      <c r="X171" s="99">
        <v>200</v>
      </c>
      <c r="Y171" s="99">
        <v>150</v>
      </c>
      <c r="Z171" s="99">
        <v>0.2</v>
      </c>
      <c r="AA171" s="99" t="s">
        <v>484</v>
      </c>
      <c r="AB171" s="99" t="s">
        <v>485</v>
      </c>
    </row>
    <row r="172" spans="21:28">
      <c r="U172" s="202" t="s">
        <v>689</v>
      </c>
      <c r="V172" s="99">
        <v>200</v>
      </c>
      <c r="W172" s="99">
        <v>100</v>
      </c>
      <c r="X172" s="99">
        <v>200</v>
      </c>
      <c r="Y172" s="99">
        <v>150</v>
      </c>
      <c r="Z172" s="99">
        <v>0.2</v>
      </c>
      <c r="AA172" s="99" t="s">
        <v>484</v>
      </c>
      <c r="AB172" s="99" t="s">
        <v>485</v>
      </c>
    </row>
    <row r="173" spans="21:28" ht="30">
      <c r="U173" s="202" t="s">
        <v>690</v>
      </c>
      <c r="V173" s="99">
        <v>200</v>
      </c>
      <c r="W173" s="99">
        <v>100</v>
      </c>
      <c r="X173" s="99">
        <v>200</v>
      </c>
      <c r="Y173" s="99">
        <v>150</v>
      </c>
      <c r="Z173" s="99">
        <v>0.2</v>
      </c>
      <c r="AA173" s="99" t="s">
        <v>484</v>
      </c>
      <c r="AB173" s="99" t="s">
        <v>485</v>
      </c>
    </row>
    <row r="174" spans="21:28">
      <c r="U174" s="202" t="s">
        <v>691</v>
      </c>
      <c r="V174" s="99">
        <v>200</v>
      </c>
      <c r="W174" s="99">
        <v>100</v>
      </c>
      <c r="X174" s="99">
        <v>200</v>
      </c>
      <c r="Y174" s="99">
        <v>150</v>
      </c>
      <c r="Z174" s="99">
        <v>0.2</v>
      </c>
      <c r="AA174" s="99" t="s">
        <v>484</v>
      </c>
      <c r="AB174" s="99" t="s">
        <v>485</v>
      </c>
    </row>
    <row r="175" spans="21:28">
      <c r="U175" s="202" t="s">
        <v>692</v>
      </c>
      <c r="V175" s="99">
        <v>200</v>
      </c>
      <c r="W175" s="99">
        <v>100</v>
      </c>
      <c r="X175" s="99">
        <v>200</v>
      </c>
      <c r="Y175" s="99">
        <v>150</v>
      </c>
      <c r="Z175" s="99">
        <v>0.2</v>
      </c>
      <c r="AA175" s="99" t="s">
        <v>484</v>
      </c>
      <c r="AB175" s="99" t="s">
        <v>485</v>
      </c>
    </row>
    <row r="176" spans="21:28" ht="45">
      <c r="U176" s="202" t="s">
        <v>693</v>
      </c>
      <c r="V176" s="99">
        <v>200</v>
      </c>
      <c r="W176" s="99">
        <v>100</v>
      </c>
      <c r="X176" s="99">
        <v>200</v>
      </c>
      <c r="Y176" s="99">
        <v>150</v>
      </c>
      <c r="Z176" s="99">
        <v>0.2</v>
      </c>
      <c r="AA176" s="99" t="s">
        <v>484</v>
      </c>
      <c r="AB176" s="99" t="s">
        <v>485</v>
      </c>
    </row>
    <row r="177" spans="21:28">
      <c r="U177" s="202" t="s">
        <v>694</v>
      </c>
      <c r="V177" s="99">
        <v>200</v>
      </c>
      <c r="W177" s="99">
        <v>100</v>
      </c>
      <c r="X177" s="99">
        <v>200</v>
      </c>
      <c r="Y177" s="99">
        <v>150</v>
      </c>
      <c r="Z177" s="99">
        <v>0.2</v>
      </c>
      <c r="AA177" s="99" t="s">
        <v>484</v>
      </c>
      <c r="AB177" s="99" t="s">
        <v>485</v>
      </c>
    </row>
    <row r="178" spans="21:28">
      <c r="U178" s="202" t="s">
        <v>695</v>
      </c>
      <c r="V178" s="99">
        <v>200</v>
      </c>
      <c r="W178" s="99">
        <v>100</v>
      </c>
      <c r="X178" s="99">
        <v>200</v>
      </c>
      <c r="Y178" s="99">
        <v>150</v>
      </c>
      <c r="Z178" s="99">
        <v>0.2</v>
      </c>
      <c r="AA178" s="99" t="s">
        <v>484</v>
      </c>
      <c r="AB178" s="99" t="s">
        <v>485</v>
      </c>
    </row>
    <row r="179" spans="21:28" ht="30">
      <c r="U179" s="202" t="s">
        <v>696</v>
      </c>
      <c r="V179" s="99">
        <v>200</v>
      </c>
      <c r="W179" s="99">
        <v>100</v>
      </c>
      <c r="X179" s="99">
        <v>200</v>
      </c>
      <c r="Y179" s="99">
        <v>150</v>
      </c>
      <c r="Z179" s="99">
        <v>0.2</v>
      </c>
      <c r="AA179" s="99" t="s">
        <v>484</v>
      </c>
      <c r="AB179" s="99" t="s">
        <v>485</v>
      </c>
    </row>
    <row r="180" spans="21:28">
      <c r="U180" s="202" t="s">
        <v>697</v>
      </c>
      <c r="V180" s="99">
        <v>200</v>
      </c>
      <c r="W180" s="99">
        <v>100</v>
      </c>
      <c r="X180" s="99">
        <v>200</v>
      </c>
      <c r="Y180" s="99">
        <v>150</v>
      </c>
      <c r="Z180" s="99">
        <v>0.2</v>
      </c>
      <c r="AA180" s="99" t="s">
        <v>484</v>
      </c>
      <c r="AB180" s="99" t="s">
        <v>485</v>
      </c>
    </row>
    <row r="181" spans="21:28">
      <c r="U181" s="202" t="s">
        <v>698</v>
      </c>
      <c r="V181" s="99">
        <v>200</v>
      </c>
      <c r="W181" s="99">
        <v>100</v>
      </c>
      <c r="X181" s="99">
        <v>200</v>
      </c>
      <c r="Y181" s="99">
        <v>150</v>
      </c>
      <c r="Z181" s="99">
        <v>0.2</v>
      </c>
      <c r="AA181" s="99" t="s">
        <v>484</v>
      </c>
      <c r="AB181" s="99" t="s">
        <v>485</v>
      </c>
    </row>
    <row r="182" spans="21:28">
      <c r="U182" s="202" t="s">
        <v>699</v>
      </c>
      <c r="V182" s="99">
        <v>200</v>
      </c>
      <c r="W182" s="99">
        <v>100</v>
      </c>
      <c r="X182" s="99">
        <v>200</v>
      </c>
      <c r="Y182" s="99">
        <v>150</v>
      </c>
      <c r="Z182" s="99">
        <v>0.2</v>
      </c>
      <c r="AA182" s="99" t="s">
        <v>484</v>
      </c>
      <c r="AB182" s="99" t="s">
        <v>485</v>
      </c>
    </row>
    <row r="183" spans="21:28" ht="45">
      <c r="U183" s="202" t="s">
        <v>700</v>
      </c>
      <c r="V183" s="99">
        <v>200</v>
      </c>
      <c r="W183" s="99">
        <v>100</v>
      </c>
      <c r="X183" s="99">
        <v>200</v>
      </c>
      <c r="Y183" s="99">
        <v>150</v>
      </c>
      <c r="Z183" s="99">
        <v>0.2</v>
      </c>
      <c r="AA183" s="99" t="s">
        <v>484</v>
      </c>
      <c r="AB183" s="99" t="s">
        <v>485</v>
      </c>
    </row>
    <row r="184" spans="21:28" ht="105">
      <c r="U184" s="202" t="s">
        <v>701</v>
      </c>
      <c r="V184" s="99">
        <v>200</v>
      </c>
      <c r="W184" s="99">
        <v>100</v>
      </c>
      <c r="X184" s="99">
        <v>200</v>
      </c>
      <c r="Y184" s="99">
        <v>150</v>
      </c>
      <c r="Z184" s="99">
        <v>0.2</v>
      </c>
      <c r="AA184" s="99" t="s">
        <v>484</v>
      </c>
      <c r="AB184" s="99" t="s">
        <v>485</v>
      </c>
    </row>
    <row r="185" spans="21:28" ht="60">
      <c r="U185" s="202" t="s">
        <v>702</v>
      </c>
      <c r="V185" s="99">
        <v>200</v>
      </c>
      <c r="W185" s="99">
        <v>100</v>
      </c>
      <c r="X185" s="99">
        <v>200</v>
      </c>
      <c r="Y185" s="99">
        <v>150</v>
      </c>
      <c r="Z185" s="99">
        <v>0.2</v>
      </c>
      <c r="AA185" s="99" t="s">
        <v>484</v>
      </c>
      <c r="AB185" s="99" t="s">
        <v>485</v>
      </c>
    </row>
    <row r="186" spans="21:28" ht="45">
      <c r="U186" s="202" t="s">
        <v>703</v>
      </c>
      <c r="V186" s="99">
        <v>200</v>
      </c>
      <c r="W186" s="99">
        <v>100</v>
      </c>
      <c r="X186" s="99">
        <v>200</v>
      </c>
      <c r="Y186" s="99">
        <v>150</v>
      </c>
      <c r="Z186" s="99">
        <v>0.2</v>
      </c>
      <c r="AA186" s="99" t="s">
        <v>484</v>
      </c>
      <c r="AB186" s="99" t="s">
        <v>485</v>
      </c>
    </row>
    <row r="187" spans="21:28">
      <c r="U187" s="202" t="s">
        <v>704</v>
      </c>
      <c r="V187" s="99">
        <v>200</v>
      </c>
      <c r="W187" s="99">
        <v>100</v>
      </c>
      <c r="X187" s="99">
        <v>200</v>
      </c>
      <c r="Y187" s="99">
        <v>150</v>
      </c>
      <c r="Z187" s="99">
        <v>0.2</v>
      </c>
      <c r="AA187" s="99" t="s">
        <v>484</v>
      </c>
      <c r="AB187" s="99" t="s">
        <v>485</v>
      </c>
    </row>
    <row r="188" spans="21:28" ht="30">
      <c r="U188" s="202" t="s">
        <v>705</v>
      </c>
      <c r="V188" s="99">
        <v>200</v>
      </c>
      <c r="W188" s="99">
        <v>100</v>
      </c>
      <c r="X188" s="99">
        <v>200</v>
      </c>
      <c r="Y188" s="99">
        <v>150</v>
      </c>
      <c r="Z188" s="99">
        <v>0.2</v>
      </c>
      <c r="AA188" s="99" t="s">
        <v>484</v>
      </c>
      <c r="AB188" s="99" t="s">
        <v>485</v>
      </c>
    </row>
    <row r="189" spans="21:28">
      <c r="U189" s="202" t="s">
        <v>706</v>
      </c>
      <c r="V189" s="99">
        <v>200</v>
      </c>
      <c r="W189" s="99">
        <v>100</v>
      </c>
      <c r="X189" s="99">
        <v>200</v>
      </c>
      <c r="Y189" s="99">
        <v>150</v>
      </c>
      <c r="Z189" s="99">
        <v>0.2</v>
      </c>
      <c r="AA189" s="99" t="s">
        <v>484</v>
      </c>
      <c r="AB189" s="99" t="s">
        <v>485</v>
      </c>
    </row>
    <row r="190" spans="21:28" ht="30">
      <c r="U190" s="202" t="s">
        <v>707</v>
      </c>
      <c r="V190" s="99">
        <v>200</v>
      </c>
      <c r="W190" s="99">
        <v>100</v>
      </c>
      <c r="X190" s="99">
        <v>200</v>
      </c>
      <c r="Y190" s="99">
        <v>150</v>
      </c>
      <c r="Z190" s="99">
        <v>0.2</v>
      </c>
      <c r="AA190" s="99" t="s">
        <v>484</v>
      </c>
      <c r="AB190" s="99" t="s">
        <v>485</v>
      </c>
    </row>
    <row r="191" spans="21:28">
      <c r="U191" s="202" t="s">
        <v>708</v>
      </c>
      <c r="V191" s="99">
        <v>200</v>
      </c>
      <c r="W191" s="99">
        <v>100</v>
      </c>
      <c r="X191" s="99">
        <v>200</v>
      </c>
      <c r="Y191" s="99">
        <v>150</v>
      </c>
      <c r="Z191" s="99">
        <v>0.2</v>
      </c>
      <c r="AA191" s="99" t="s">
        <v>484</v>
      </c>
      <c r="AB191" s="99" t="s">
        <v>485</v>
      </c>
    </row>
    <row r="192" spans="21:28">
      <c r="U192" s="202" t="s">
        <v>709</v>
      </c>
      <c r="V192" s="99">
        <v>200</v>
      </c>
      <c r="W192" s="99">
        <v>100</v>
      </c>
      <c r="X192" s="99">
        <v>200</v>
      </c>
      <c r="Y192" s="99">
        <v>150</v>
      </c>
      <c r="Z192" s="99">
        <v>0.2</v>
      </c>
      <c r="AA192" s="99" t="s">
        <v>484</v>
      </c>
      <c r="AB192" s="99" t="s">
        <v>485</v>
      </c>
    </row>
    <row r="193" spans="21:28">
      <c r="U193" s="202" t="s">
        <v>710</v>
      </c>
      <c r="V193" s="99">
        <v>200</v>
      </c>
      <c r="W193" s="99">
        <v>100</v>
      </c>
      <c r="X193" s="99">
        <v>200</v>
      </c>
      <c r="Y193" s="99">
        <v>150</v>
      </c>
      <c r="Z193" s="99">
        <v>0.2</v>
      </c>
      <c r="AA193" s="99" t="s">
        <v>484</v>
      </c>
      <c r="AB193" s="99" t="s">
        <v>485</v>
      </c>
    </row>
    <row r="194" spans="21:28" ht="30">
      <c r="U194" s="202" t="s">
        <v>711</v>
      </c>
      <c r="V194" s="99">
        <v>200</v>
      </c>
      <c r="W194" s="99">
        <v>100</v>
      </c>
      <c r="X194" s="99">
        <v>200</v>
      </c>
      <c r="Y194" s="99">
        <v>150</v>
      </c>
      <c r="Z194" s="99">
        <v>0.2</v>
      </c>
      <c r="AA194" s="99" t="s">
        <v>484</v>
      </c>
      <c r="AB194" s="99" t="s">
        <v>485</v>
      </c>
    </row>
    <row r="227" spans="19:20" ht="150">
      <c r="S227" s="205" t="s">
        <v>241</v>
      </c>
      <c r="T227" s="99" t="s">
        <v>712</v>
      </c>
    </row>
    <row r="228" spans="19:20" ht="105">
      <c r="S228" s="205" t="s">
        <v>713</v>
      </c>
      <c r="T228" s="99" t="s">
        <v>714</v>
      </c>
    </row>
  </sheetData>
  <sheetProtection algorithmName="SHA-512" hashValue="sXlCVH/pddHzRWxwZmpVy67lSMzNLSgzn7ozMBni24ob2uvTjDrZnkvIC3JI4+PrXM60nGJDAGZqKF20k0I1Ig==" saltValue="ryEOYp4k+Pb33Ic1tPwqgA==" spinCount="100000" sheet="1" objects="1" scenarios="1"/>
  <pageMargins left="0.7" right="0.7" top="0.75" bottom="0.75" header="0.3" footer="0.3"/>
  <pageSetup paperSize="9" orientation="portrait" verticalDpi="300"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L37"/>
  <sheetViews>
    <sheetView topLeftCell="B1" zoomScaleNormal="100" workbookViewId="0">
      <selection activeCell="F30" sqref="F30"/>
    </sheetView>
  </sheetViews>
  <sheetFormatPr defaultColWidth="9" defaultRowHeight="15"/>
  <cols>
    <col min="1" max="1" width="11.42578125" style="99" customWidth="1"/>
    <col min="2" max="3" width="9" style="99"/>
    <col min="4" max="4" width="31.42578125" style="99" customWidth="1"/>
    <col min="5" max="5" width="12.140625" style="99" customWidth="1"/>
    <col min="6" max="6" width="16.140625" style="99" customWidth="1"/>
    <col min="7" max="7" width="18" style="99" customWidth="1"/>
    <col min="8" max="16384" width="9" style="99"/>
  </cols>
  <sheetData>
    <row r="1" spans="1:12">
      <c r="A1" s="255" t="s">
        <v>56</v>
      </c>
      <c r="B1" s="255" t="s">
        <v>717</v>
      </c>
      <c r="D1" s="99" t="s">
        <v>718</v>
      </c>
      <c r="E1" s="255" t="s">
        <v>122</v>
      </c>
      <c r="F1" s="255" t="s">
        <v>719</v>
      </c>
      <c r="G1" s="255" t="s">
        <v>720</v>
      </c>
      <c r="H1" s="255" t="s">
        <v>721</v>
      </c>
      <c r="I1" s="255" t="s">
        <v>722</v>
      </c>
      <c r="J1" s="255" t="s">
        <v>723</v>
      </c>
      <c r="K1" s="255" t="s">
        <v>724</v>
      </c>
      <c r="L1" s="255" t="s">
        <v>725</v>
      </c>
    </row>
    <row r="2" spans="1:12" ht="30">
      <c r="A2" s="256" t="s">
        <v>57</v>
      </c>
      <c r="B2" s="256" t="s">
        <v>726</v>
      </c>
      <c r="D2" s="205" t="s">
        <v>548</v>
      </c>
      <c r="E2" s="256" t="s">
        <v>727</v>
      </c>
      <c r="F2" s="256" t="s">
        <v>726</v>
      </c>
      <c r="G2" s="256" t="s">
        <v>727</v>
      </c>
      <c r="H2" s="255" t="s">
        <v>721</v>
      </c>
      <c r="I2" s="256" t="s">
        <v>728</v>
      </c>
      <c r="J2" s="255" t="s">
        <v>723</v>
      </c>
      <c r="K2" s="99">
        <v>2</v>
      </c>
      <c r="L2" s="99">
        <v>1</v>
      </c>
    </row>
    <row r="3" spans="1:12" ht="30">
      <c r="A3" s="256" t="s">
        <v>729</v>
      </c>
      <c r="B3" s="256" t="s">
        <v>727</v>
      </c>
      <c r="D3" s="205" t="s">
        <v>553</v>
      </c>
      <c r="E3" s="256" t="s">
        <v>726</v>
      </c>
      <c r="F3" s="256" t="s">
        <v>726</v>
      </c>
      <c r="G3" s="256" t="s">
        <v>727</v>
      </c>
      <c r="H3" s="256" t="s">
        <v>730</v>
      </c>
      <c r="I3" s="256" t="s">
        <v>730</v>
      </c>
      <c r="J3" s="256" t="s">
        <v>730</v>
      </c>
      <c r="K3" s="99">
        <v>2</v>
      </c>
      <c r="L3" s="99">
        <v>2</v>
      </c>
    </row>
    <row r="4" spans="1:12" ht="30">
      <c r="A4" s="256" t="s">
        <v>731</v>
      </c>
      <c r="B4" s="256" t="s">
        <v>727</v>
      </c>
      <c r="D4" s="205" t="s">
        <v>560</v>
      </c>
      <c r="E4" s="256" t="s">
        <v>726</v>
      </c>
      <c r="F4" s="256" t="s">
        <v>727</v>
      </c>
      <c r="G4" s="256" t="s">
        <v>727</v>
      </c>
      <c r="H4" s="256" t="s">
        <v>730</v>
      </c>
      <c r="I4" s="256" t="s">
        <v>730</v>
      </c>
      <c r="J4" s="256" t="s">
        <v>730</v>
      </c>
      <c r="K4" s="99">
        <v>2</v>
      </c>
      <c r="L4" s="99">
        <v>3</v>
      </c>
    </row>
    <row r="5" spans="1:12">
      <c r="D5" s="205" t="s">
        <v>463</v>
      </c>
      <c r="E5" s="256" t="s">
        <v>726</v>
      </c>
      <c r="F5" s="256" t="s">
        <v>726</v>
      </c>
      <c r="G5" s="256" t="s">
        <v>727</v>
      </c>
      <c r="H5" s="256" t="s">
        <v>730</v>
      </c>
      <c r="I5" s="256" t="s">
        <v>730</v>
      </c>
      <c r="J5" s="256" t="s">
        <v>730</v>
      </c>
      <c r="K5" s="99">
        <v>2</v>
      </c>
      <c r="L5" s="99">
        <v>4</v>
      </c>
    </row>
    <row r="6" spans="1:12" ht="30">
      <c r="A6" s="256" t="s">
        <v>732</v>
      </c>
      <c r="B6" s="256" t="s">
        <v>733</v>
      </c>
      <c r="D6" s="205" t="s">
        <v>734</v>
      </c>
      <c r="E6" s="256" t="s">
        <v>727</v>
      </c>
      <c r="F6" s="256" t="s">
        <v>726</v>
      </c>
      <c r="G6" s="256" t="s">
        <v>727</v>
      </c>
      <c r="H6" s="255" t="s">
        <v>721</v>
      </c>
      <c r="I6" s="256" t="s">
        <v>728</v>
      </c>
      <c r="J6" s="255" t="s">
        <v>723</v>
      </c>
      <c r="K6" s="99">
        <v>2</v>
      </c>
      <c r="L6" s="99">
        <v>5</v>
      </c>
    </row>
    <row r="7" spans="1:12" ht="30">
      <c r="A7" s="256" t="s">
        <v>63</v>
      </c>
      <c r="B7" s="255">
        <v>0</v>
      </c>
      <c r="D7" s="205" t="s">
        <v>735</v>
      </c>
      <c r="E7" s="256" t="s">
        <v>727</v>
      </c>
      <c r="F7" s="256" t="s">
        <v>727</v>
      </c>
      <c r="G7" s="256" t="s">
        <v>727</v>
      </c>
      <c r="H7" s="255" t="s">
        <v>721</v>
      </c>
      <c r="I7" s="256" t="s">
        <v>728</v>
      </c>
      <c r="J7" s="255" t="s">
        <v>723</v>
      </c>
      <c r="K7" s="99">
        <v>2</v>
      </c>
      <c r="L7" s="99">
        <v>6</v>
      </c>
    </row>
    <row r="8" spans="1:12" ht="30">
      <c r="A8" s="256" t="s">
        <v>736</v>
      </c>
      <c r="B8" s="255">
        <v>0</v>
      </c>
      <c r="D8" s="205" t="s">
        <v>737</v>
      </c>
      <c r="E8" s="256" t="s">
        <v>727</v>
      </c>
      <c r="F8" s="256" t="s">
        <v>726</v>
      </c>
      <c r="G8" s="256" t="s">
        <v>727</v>
      </c>
      <c r="H8" s="255" t="s">
        <v>721</v>
      </c>
      <c r="I8" s="256" t="s">
        <v>728</v>
      </c>
      <c r="J8" s="255" t="s">
        <v>723</v>
      </c>
      <c r="K8" s="99">
        <v>2</v>
      </c>
      <c r="L8" s="99">
        <v>7</v>
      </c>
    </row>
    <row r="9" spans="1:12" ht="30">
      <c r="A9" s="256" t="s">
        <v>738</v>
      </c>
      <c r="B9" s="255">
        <v>0.5</v>
      </c>
      <c r="D9" s="205" t="s">
        <v>739</v>
      </c>
      <c r="E9" s="256" t="s">
        <v>727</v>
      </c>
      <c r="F9" s="256" t="s">
        <v>726</v>
      </c>
      <c r="G9" s="256" t="s">
        <v>727</v>
      </c>
      <c r="H9" s="255" t="s">
        <v>721</v>
      </c>
      <c r="I9" s="256" t="s">
        <v>728</v>
      </c>
      <c r="J9" s="255" t="s">
        <v>723</v>
      </c>
      <c r="K9" s="99">
        <v>3</v>
      </c>
      <c r="L9" s="99">
        <v>8</v>
      </c>
    </row>
    <row r="10" spans="1:12" ht="30">
      <c r="D10" s="205" t="s">
        <v>740</v>
      </c>
      <c r="E10" s="256" t="s">
        <v>726</v>
      </c>
      <c r="F10" s="256" t="s">
        <v>726</v>
      </c>
      <c r="G10" s="256" t="s">
        <v>727</v>
      </c>
      <c r="H10" s="256" t="s">
        <v>730</v>
      </c>
      <c r="I10" s="256" t="s">
        <v>730</v>
      </c>
      <c r="J10" s="256" t="s">
        <v>730</v>
      </c>
      <c r="K10" s="99">
        <v>2</v>
      </c>
      <c r="L10" s="99">
        <v>9</v>
      </c>
    </row>
    <row r="11" spans="1:12">
      <c r="A11" s="256"/>
      <c r="B11" s="255"/>
    </row>
    <row r="12" spans="1:12">
      <c r="A12" s="256"/>
      <c r="B12" s="255"/>
    </row>
    <row r="13" spans="1:12" ht="15.75" thickBot="1">
      <c r="A13" s="255" t="s">
        <v>120</v>
      </c>
      <c r="B13" s="255" t="s">
        <v>741</v>
      </c>
      <c r="C13" s="256"/>
    </row>
    <row r="14" spans="1:12" ht="16.5" thickTop="1" thickBot="1">
      <c r="A14" s="255" t="s">
        <v>742</v>
      </c>
      <c r="B14" s="255" t="s">
        <v>743</v>
      </c>
      <c r="C14" s="256"/>
      <c r="F14" s="257"/>
      <c r="G14" s="257" t="e">
        <f>IF('2-Calc. Sheet'!O7&lt;=0,"0","0")</f>
        <v>#DIV/0!</v>
      </c>
      <c r="H14" s="257" t="e">
        <f>IF('2-Calc. Sheet'!O7&gt;0,IF('2-Calc. Sheet'!O7&lt;=20,'2-Calc. Sheet'!O7," ")," ")</f>
        <v>#DIV/0!</v>
      </c>
      <c r="I14" s="257" t="e">
        <f>IF('2-Calc. Sheet'!O7&gt;20,IF('2-Calc. Sheet'!O7&lt;=40,'2-Calc. Sheet'!O7," ")," ")</f>
        <v>#DIV/0!</v>
      </c>
      <c r="J14" s="257" t="e">
        <f>IF('2-Calc. Sheet'!O7&gt;40,IF('2-Calc. Sheet'!O7&lt;=60,'2-Calc. Sheet'!O7," ")," ")</f>
        <v>#DIV/0!</v>
      </c>
      <c r="K14" s="257" t="e">
        <f>IF('2-Calc. Sheet'!O7&gt;60,IF('2-Calc. Sheet'!O7&lt;=80,'2-Calc. Sheet'!O7," ")," ")</f>
        <v>#DIV/0!</v>
      </c>
      <c r="L14" s="257" t="e">
        <f>IF('2-Calc. Sheet'!O7&gt;80,IF('2-Calc. Sheet'!O7&lt;=100,'2-Calc. Sheet'!O7," ")," ")</f>
        <v>#DIV/0!</v>
      </c>
    </row>
    <row r="15" spans="1:12" ht="16.5" thickTop="1" thickBot="1">
      <c r="A15" s="255" t="s">
        <v>744</v>
      </c>
      <c r="B15" s="255" t="s">
        <v>743</v>
      </c>
      <c r="C15" s="256"/>
      <c r="F15" s="257" t="str">
        <f>IF('2-Calc. Sheet'!O6&lt;=0,"0","0")</f>
        <v>0</v>
      </c>
      <c r="G15" s="257">
        <v>0</v>
      </c>
      <c r="H15" s="257">
        <v>0</v>
      </c>
      <c r="I15" s="257">
        <v>0</v>
      </c>
      <c r="J15" s="257">
        <v>0</v>
      </c>
      <c r="K15" s="257">
        <v>0</v>
      </c>
      <c r="L15" s="257">
        <v>0</v>
      </c>
    </row>
    <row r="16" spans="1:12" ht="16.5" thickTop="1" thickBot="1">
      <c r="A16" s="255" t="s">
        <v>745</v>
      </c>
      <c r="B16" s="255" t="s">
        <v>746</v>
      </c>
      <c r="C16" s="256"/>
      <c r="F16" s="257" t="str">
        <f>IF('2-Calc. Sheet'!O6&gt;0,IF('2-Calc. Sheet'!O6&lt;=20,'2-Calc. Sheet'!O6," ")," ")</f>
        <v xml:space="preserve"> </v>
      </c>
      <c r="G16" s="257">
        <v>0</v>
      </c>
      <c r="H16" s="257">
        <v>0</v>
      </c>
      <c r="I16" s="257">
        <v>0</v>
      </c>
      <c r="J16" s="257">
        <v>0</v>
      </c>
      <c r="K16" s="257">
        <v>0</v>
      </c>
      <c r="L16" s="257">
        <v>0</v>
      </c>
    </row>
    <row r="17" spans="1:12" ht="16.5" thickTop="1" thickBot="1">
      <c r="A17" s="255" t="s">
        <v>747</v>
      </c>
      <c r="B17" s="255" t="s">
        <v>746</v>
      </c>
      <c r="C17" s="256"/>
      <c r="F17" s="257" t="str">
        <f>IF('2-Calc. Sheet'!O6&gt;20,IF('2-Calc. Sheet'!O6&lt;=40,'2-Calc. Sheet'!O6," ")," ")</f>
        <v xml:space="preserve"> </v>
      </c>
      <c r="G17" s="257">
        <v>0</v>
      </c>
      <c r="H17" s="257">
        <v>0</v>
      </c>
      <c r="I17" s="257">
        <v>5</v>
      </c>
      <c r="J17" s="257">
        <v>5</v>
      </c>
      <c r="K17" s="257">
        <v>5</v>
      </c>
      <c r="L17" s="257">
        <v>5</v>
      </c>
    </row>
    <row r="18" spans="1:12" ht="16.5" thickTop="1" thickBot="1">
      <c r="A18" s="256"/>
      <c r="B18" s="255"/>
      <c r="F18" s="257" t="str">
        <f>IF('2-Calc. Sheet'!O6&gt;40,IF('2-Calc. Sheet'!O6&lt;=60,'2-Calc. Sheet'!O6," ")," ")</f>
        <v xml:space="preserve"> </v>
      </c>
      <c r="G18" s="257">
        <v>0</v>
      </c>
      <c r="H18" s="257">
        <v>0</v>
      </c>
      <c r="I18" s="257">
        <v>5</v>
      </c>
      <c r="J18" s="257">
        <v>10</v>
      </c>
      <c r="K18" s="257">
        <v>10</v>
      </c>
      <c r="L18" s="257">
        <v>10</v>
      </c>
    </row>
    <row r="19" spans="1:12" ht="16.5" thickTop="1" thickBot="1">
      <c r="A19" s="256"/>
      <c r="B19" s="255"/>
      <c r="F19" s="257" t="str">
        <f>IF('2-Calc. Sheet'!O6&gt;60,IF('2-Calc. Sheet'!O6&lt;=80,'2-Calc. Sheet'!O6," ")," ")</f>
        <v xml:space="preserve"> </v>
      </c>
      <c r="G19" s="257">
        <v>0</v>
      </c>
      <c r="H19" s="257">
        <v>0</v>
      </c>
      <c r="I19" s="257">
        <v>5</v>
      </c>
      <c r="J19" s="257">
        <v>10</v>
      </c>
      <c r="K19" s="257">
        <v>15</v>
      </c>
      <c r="L19" s="257">
        <v>15</v>
      </c>
    </row>
    <row r="20" spans="1:12" ht="16.5" thickTop="1" thickBot="1">
      <c r="F20" s="257" t="str">
        <f>IF('2-Calc. Sheet'!O6&gt;80,IF('2-Calc. Sheet'!O6&lt;=100,'2-Calc. Sheet'!O6," ")," ")</f>
        <v xml:space="preserve"> </v>
      </c>
      <c r="G20" s="258">
        <v>0</v>
      </c>
      <c r="H20" s="257">
        <v>0</v>
      </c>
      <c r="I20" s="257">
        <v>5</v>
      </c>
      <c r="J20" s="257">
        <v>10</v>
      </c>
      <c r="K20" s="257">
        <v>15</v>
      </c>
      <c r="L20" s="257">
        <v>20</v>
      </c>
    </row>
    <row r="21" spans="1:12" ht="15.75" thickTop="1">
      <c r="G21" s="255"/>
    </row>
    <row r="22" spans="1:12">
      <c r="F22" s="259"/>
      <c r="G22" s="255"/>
    </row>
    <row r="23" spans="1:12">
      <c r="A23" s="255" t="s">
        <v>748</v>
      </c>
      <c r="B23" s="255" t="s">
        <v>733</v>
      </c>
      <c r="G23" s="255"/>
    </row>
    <row r="24" spans="1:12">
      <c r="A24" s="99" t="s">
        <v>43</v>
      </c>
      <c r="B24" s="255">
        <v>0.5</v>
      </c>
      <c r="G24" s="255"/>
    </row>
    <row r="25" spans="1:12">
      <c r="A25" s="99" t="s">
        <v>21</v>
      </c>
      <c r="B25" s="255">
        <v>0</v>
      </c>
      <c r="G25" s="255"/>
    </row>
    <row r="27" spans="1:12">
      <c r="A27" s="99" t="s">
        <v>749</v>
      </c>
      <c r="B27" s="99" t="s">
        <v>750</v>
      </c>
    </row>
    <row r="28" spans="1:12">
      <c r="A28" s="99" t="s">
        <v>751</v>
      </c>
      <c r="B28" s="255">
        <v>0</v>
      </c>
    </row>
    <row r="29" spans="1:12">
      <c r="A29" s="99" t="s">
        <v>752</v>
      </c>
      <c r="B29" s="255">
        <v>5</v>
      </c>
    </row>
    <row r="32" spans="1:12">
      <c r="A32" s="99" t="s">
        <v>753</v>
      </c>
      <c r="B32" s="99" t="s">
        <v>754</v>
      </c>
    </row>
    <row r="33" spans="1:3">
      <c r="A33" s="99" t="s">
        <v>755</v>
      </c>
      <c r="B33" s="99">
        <v>0</v>
      </c>
      <c r="C33" s="260"/>
    </row>
    <row r="34" spans="1:3">
      <c r="A34" s="99" t="s">
        <v>756</v>
      </c>
      <c r="B34" s="99">
        <v>5</v>
      </c>
    </row>
    <row r="35" spans="1:3">
      <c r="A35" s="99" t="s">
        <v>757</v>
      </c>
      <c r="B35" s="99">
        <v>10</v>
      </c>
    </row>
    <row r="36" spans="1:3">
      <c r="A36" s="99" t="s">
        <v>758</v>
      </c>
      <c r="B36" s="99">
        <v>15</v>
      </c>
    </row>
    <row r="37" spans="1:3">
      <c r="A37" s="99" t="s">
        <v>759</v>
      </c>
      <c r="B37" s="99">
        <v>20</v>
      </c>
    </row>
  </sheetData>
  <sheetProtection password="C8B8" sheet="1" objects="1" scenarios="1"/>
  <pageMargins left="0.7" right="0.7" top="0.75" bottom="0.75" header="0.3" footer="0.3"/>
  <pageSetup paperSize="9" orientation="portrait" verticalDpi="300" r:id="rId1"/>
  <customProperties>
    <customPr name="LastActive"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W71"/>
  <sheetViews>
    <sheetView topLeftCell="A56" workbookViewId="0">
      <selection activeCell="K67" sqref="K67"/>
    </sheetView>
  </sheetViews>
  <sheetFormatPr defaultColWidth="9" defaultRowHeight="12.75"/>
  <cols>
    <col min="1" max="1" width="24.5703125" style="322" bestFit="1" customWidth="1"/>
    <col min="2" max="2" width="36.42578125" style="322" customWidth="1"/>
    <col min="3" max="3" width="13.5703125" style="329" customWidth="1"/>
    <col min="4" max="8" width="9" style="319"/>
    <col min="9" max="10" width="9" style="331"/>
    <col min="11" max="11" width="9" style="319"/>
    <col min="12" max="12" width="19.42578125" style="319" bestFit="1" customWidth="1"/>
    <col min="13" max="13" width="9" style="319"/>
    <col min="14" max="14" width="26" style="319" bestFit="1" customWidth="1"/>
    <col min="15" max="15" width="22.5703125" style="319" customWidth="1"/>
    <col min="16" max="16384" width="9" style="319"/>
  </cols>
  <sheetData>
    <row r="1" spans="1:23">
      <c r="A1" s="316" t="s">
        <v>760</v>
      </c>
      <c r="B1" s="317" t="s">
        <v>143</v>
      </c>
      <c r="C1" s="318" t="s">
        <v>761</v>
      </c>
      <c r="D1" s="316" t="s">
        <v>762</v>
      </c>
      <c r="E1" s="317" t="s">
        <v>147</v>
      </c>
      <c r="F1" s="317" t="s">
        <v>148</v>
      </c>
      <c r="G1" s="317" t="s">
        <v>763</v>
      </c>
      <c r="H1" s="317" t="s">
        <v>764</v>
      </c>
      <c r="I1" s="316" t="s">
        <v>765</v>
      </c>
      <c r="J1" s="316" t="s">
        <v>733</v>
      </c>
      <c r="L1" s="319" t="s">
        <v>766</v>
      </c>
      <c r="N1" s="320" t="s">
        <v>767</v>
      </c>
      <c r="O1" s="321" t="s">
        <v>768</v>
      </c>
    </row>
    <row r="2" spans="1:23" ht="45">
      <c r="A2" s="322" t="s">
        <v>1077</v>
      </c>
      <c r="B2" s="256" t="s">
        <v>859</v>
      </c>
      <c r="C2" s="199" t="s">
        <v>770</v>
      </c>
      <c r="D2" s="99"/>
      <c r="E2" s="99"/>
      <c r="F2" s="99"/>
      <c r="G2" s="99"/>
      <c r="H2" s="99"/>
      <c r="I2" s="256" t="s">
        <v>771</v>
      </c>
      <c r="J2" s="255">
        <v>0</v>
      </c>
      <c r="N2" s="291" t="s">
        <v>154</v>
      </c>
      <c r="O2" s="290" t="s">
        <v>155</v>
      </c>
      <c r="P2" s="290"/>
      <c r="Q2" s="290"/>
      <c r="R2" s="290" t="s">
        <v>772</v>
      </c>
      <c r="S2" s="290"/>
      <c r="T2" s="290"/>
      <c r="U2" s="290"/>
      <c r="V2" s="290"/>
      <c r="W2" s="290"/>
    </row>
    <row r="3" spans="1:23" ht="45">
      <c r="A3" s="322" t="s">
        <v>1078</v>
      </c>
      <c r="B3" s="256" t="s">
        <v>859</v>
      </c>
      <c r="C3" s="199" t="s">
        <v>770</v>
      </c>
      <c r="D3" s="99"/>
      <c r="E3" s="99"/>
      <c r="F3" s="99"/>
      <c r="G3" s="99"/>
      <c r="H3" s="99"/>
      <c r="I3" s="256" t="s">
        <v>771</v>
      </c>
      <c r="J3" s="255">
        <v>0</v>
      </c>
      <c r="N3" s="291" t="s">
        <v>774</v>
      </c>
      <c r="O3" s="290" t="s">
        <v>775</v>
      </c>
      <c r="P3" s="290"/>
      <c r="Q3" s="290"/>
      <c r="R3" s="290" t="s">
        <v>66</v>
      </c>
      <c r="S3" s="290"/>
      <c r="T3" s="290"/>
      <c r="U3" s="290"/>
      <c r="V3" s="290"/>
      <c r="W3" s="290"/>
    </row>
    <row r="4" spans="1:23" ht="45">
      <c r="A4" s="322" t="s">
        <v>1079</v>
      </c>
      <c r="B4" s="323" t="s">
        <v>861</v>
      </c>
      <c r="C4" s="292" t="s">
        <v>770</v>
      </c>
      <c r="D4" s="290"/>
      <c r="E4" s="290"/>
      <c r="F4" s="290"/>
      <c r="G4" s="290"/>
      <c r="H4" s="290"/>
      <c r="I4" s="256" t="s">
        <v>771</v>
      </c>
      <c r="J4" s="255">
        <v>0</v>
      </c>
      <c r="N4" s="291" t="s">
        <v>779</v>
      </c>
      <c r="O4" s="290" t="s">
        <v>780</v>
      </c>
      <c r="P4" s="290"/>
      <c r="Q4" s="290"/>
      <c r="R4" s="290" t="s">
        <v>781</v>
      </c>
      <c r="S4" s="290"/>
      <c r="T4" s="290"/>
      <c r="U4" s="290"/>
      <c r="V4" s="290"/>
      <c r="W4" s="290"/>
    </row>
    <row r="5" spans="1:23" ht="45">
      <c r="A5" s="322" t="s">
        <v>1080</v>
      </c>
      <c r="B5" s="323" t="s">
        <v>861</v>
      </c>
      <c r="C5" s="292" t="s">
        <v>770</v>
      </c>
      <c r="D5" s="290"/>
      <c r="E5" s="290"/>
      <c r="F5" s="290"/>
      <c r="G5" s="290"/>
      <c r="H5" s="290"/>
      <c r="I5" s="256" t="s">
        <v>771</v>
      </c>
      <c r="J5" s="255">
        <v>0</v>
      </c>
      <c r="N5" s="291" t="s">
        <v>783</v>
      </c>
      <c r="O5" s="290" t="s">
        <v>784</v>
      </c>
      <c r="P5" s="290"/>
      <c r="Q5" s="290"/>
      <c r="R5" s="290" t="s">
        <v>770</v>
      </c>
      <c r="S5" s="290"/>
      <c r="T5" s="290"/>
      <c r="U5" s="290"/>
      <c r="V5" s="290"/>
      <c r="W5" s="290"/>
    </row>
    <row r="6" spans="1:23" ht="45">
      <c r="A6" s="322" t="s">
        <v>1081</v>
      </c>
      <c r="B6" s="323" t="s">
        <v>861</v>
      </c>
      <c r="C6" s="292" t="s">
        <v>770</v>
      </c>
      <c r="D6" s="290"/>
      <c r="E6" s="290"/>
      <c r="F6" s="290"/>
      <c r="G6" s="290"/>
      <c r="H6" s="290"/>
      <c r="I6" s="256" t="s">
        <v>771</v>
      </c>
      <c r="J6" s="255">
        <v>0</v>
      </c>
      <c r="N6" s="291" t="s">
        <v>786</v>
      </c>
      <c r="O6" s="290" t="s">
        <v>787</v>
      </c>
      <c r="P6" s="290"/>
      <c r="Q6" s="290"/>
      <c r="R6" s="290"/>
      <c r="S6" s="290"/>
      <c r="T6" s="290"/>
      <c r="U6" s="290"/>
      <c r="V6" s="290"/>
      <c r="W6" s="290"/>
    </row>
    <row r="7" spans="1:23" ht="18" customHeight="1">
      <c r="A7" s="322" t="s">
        <v>1082</v>
      </c>
      <c r="B7" s="256" t="s">
        <v>863</v>
      </c>
      <c r="C7" s="291" t="s">
        <v>777</v>
      </c>
      <c r="D7" s="290"/>
      <c r="E7" s="290"/>
      <c r="F7" s="290"/>
      <c r="G7" s="290"/>
      <c r="H7" s="290"/>
      <c r="I7" s="256" t="s">
        <v>771</v>
      </c>
      <c r="J7" s="255">
        <v>0</v>
      </c>
      <c r="N7" s="291" t="s">
        <v>789</v>
      </c>
      <c r="O7" s="290" t="s">
        <v>790</v>
      </c>
      <c r="P7" s="290"/>
      <c r="Q7" s="290"/>
      <c r="R7" s="290"/>
      <c r="S7" s="290"/>
      <c r="T7" s="290"/>
      <c r="U7" s="290"/>
      <c r="V7" s="290"/>
      <c r="W7" s="290"/>
    </row>
    <row r="8" spans="1:23" ht="45">
      <c r="A8" s="322" t="s">
        <v>1083</v>
      </c>
      <c r="B8" s="256" t="s">
        <v>863</v>
      </c>
      <c r="C8" s="291" t="s">
        <v>777</v>
      </c>
      <c r="D8" s="290"/>
      <c r="E8" s="290"/>
      <c r="F8" s="290"/>
      <c r="G8" s="290"/>
      <c r="H8" s="290"/>
      <c r="I8" s="256" t="s">
        <v>771</v>
      </c>
      <c r="J8" s="255">
        <v>0</v>
      </c>
      <c r="N8" s="291" t="s">
        <v>792</v>
      </c>
      <c r="O8" s="290" t="s">
        <v>793</v>
      </c>
      <c r="P8" s="290"/>
      <c r="Q8" s="290"/>
      <c r="R8" s="290"/>
      <c r="S8" s="290"/>
      <c r="T8" s="290"/>
      <c r="U8" s="290"/>
      <c r="V8" s="290"/>
      <c r="W8" s="290"/>
    </row>
    <row r="9" spans="1:23" ht="45">
      <c r="A9" s="322" t="s">
        <v>1084</v>
      </c>
      <c r="B9" s="256" t="s">
        <v>863</v>
      </c>
      <c r="C9" s="291" t="s">
        <v>777</v>
      </c>
      <c r="D9" s="290"/>
      <c r="E9" s="290"/>
      <c r="F9" s="290"/>
      <c r="G9" s="290"/>
      <c r="H9" s="290"/>
      <c r="I9" s="256" t="s">
        <v>771</v>
      </c>
      <c r="J9" s="255">
        <v>0</v>
      </c>
      <c r="N9" s="290"/>
      <c r="O9" s="290" t="s">
        <v>795</v>
      </c>
      <c r="P9" s="290"/>
      <c r="Q9" s="290"/>
      <c r="R9" s="290"/>
      <c r="S9" s="290"/>
      <c r="T9" s="290"/>
      <c r="U9" s="290"/>
      <c r="V9" s="290"/>
      <c r="W9" s="290"/>
    </row>
    <row r="10" spans="1:23" ht="45">
      <c r="A10" s="322" t="s">
        <v>1085</v>
      </c>
      <c r="B10" s="256" t="s">
        <v>863</v>
      </c>
      <c r="C10" s="291" t="s">
        <v>777</v>
      </c>
      <c r="D10" s="290"/>
      <c r="E10" s="290"/>
      <c r="F10" s="290"/>
      <c r="G10" s="290"/>
      <c r="H10" s="290"/>
      <c r="I10" s="256" t="s">
        <v>771</v>
      </c>
      <c r="J10" s="255">
        <v>0</v>
      </c>
      <c r="N10" s="290"/>
      <c r="O10" s="290" t="s">
        <v>797</v>
      </c>
      <c r="P10" s="290"/>
      <c r="Q10" s="290"/>
      <c r="R10" s="290"/>
      <c r="S10" s="290"/>
      <c r="T10" s="290"/>
      <c r="U10" s="290"/>
      <c r="V10" s="290"/>
      <c r="W10" s="290"/>
    </row>
    <row r="11" spans="1:23" ht="45">
      <c r="A11" s="322" t="s">
        <v>1086</v>
      </c>
      <c r="B11" s="256" t="s">
        <v>863</v>
      </c>
      <c r="C11" s="291" t="s">
        <v>777</v>
      </c>
      <c r="D11" s="290"/>
      <c r="E11" s="290"/>
      <c r="F11" s="290"/>
      <c r="G11" s="290"/>
      <c r="H11" s="290"/>
      <c r="I11" s="256" t="s">
        <v>771</v>
      </c>
      <c r="J11" s="255">
        <v>0</v>
      </c>
      <c r="N11" s="290"/>
      <c r="O11" s="290" t="s">
        <v>800</v>
      </c>
      <c r="P11" s="290"/>
      <c r="Q11" s="290"/>
      <c r="R11" s="290"/>
      <c r="S11" s="290"/>
      <c r="T11" s="290"/>
      <c r="U11" s="290"/>
      <c r="V11" s="290"/>
      <c r="W11" s="290"/>
    </row>
    <row r="12" spans="1:23" ht="45">
      <c r="A12" s="322" t="s">
        <v>864</v>
      </c>
      <c r="B12" s="323" t="s">
        <v>865</v>
      </c>
      <c r="C12" s="291" t="s">
        <v>770</v>
      </c>
      <c r="D12" s="290"/>
      <c r="E12" s="290"/>
      <c r="F12" s="290"/>
      <c r="G12" s="290"/>
      <c r="H12" s="290"/>
      <c r="I12" s="256" t="s">
        <v>771</v>
      </c>
      <c r="J12" s="255">
        <v>0</v>
      </c>
      <c r="N12" s="290"/>
      <c r="O12" s="290" t="s">
        <v>802</v>
      </c>
      <c r="P12" s="290"/>
      <c r="Q12" s="290"/>
      <c r="R12" s="290"/>
      <c r="S12" s="290"/>
      <c r="T12" s="290"/>
      <c r="U12" s="290"/>
      <c r="V12" s="290"/>
      <c r="W12" s="290"/>
    </row>
    <row r="13" spans="1:23" ht="15">
      <c r="A13" s="322" t="s">
        <v>866</v>
      </c>
      <c r="B13" s="317" t="s">
        <v>867</v>
      </c>
      <c r="C13" s="318" t="s">
        <v>770</v>
      </c>
      <c r="D13" s="316"/>
      <c r="E13" s="317"/>
      <c r="F13" s="317"/>
      <c r="G13" s="317"/>
      <c r="H13" s="317"/>
      <c r="I13" s="316" t="s">
        <v>771</v>
      </c>
      <c r="J13" s="316">
        <v>0</v>
      </c>
      <c r="N13" s="290"/>
      <c r="O13" s="290" t="s">
        <v>805</v>
      </c>
      <c r="P13" s="290"/>
      <c r="Q13" s="290"/>
      <c r="R13" s="290"/>
      <c r="S13" s="290"/>
      <c r="T13" s="290"/>
      <c r="U13" s="290"/>
      <c r="V13" s="290"/>
      <c r="W13" s="290"/>
    </row>
    <row r="14" spans="1:23" ht="25.5" customHeight="1">
      <c r="A14" s="322" t="s">
        <v>1087</v>
      </c>
      <c r="B14" s="323" t="s">
        <v>869</v>
      </c>
      <c r="C14" s="291" t="s">
        <v>770</v>
      </c>
      <c r="D14" s="290"/>
      <c r="E14" s="290"/>
      <c r="F14" s="290"/>
      <c r="G14" s="290"/>
      <c r="H14" s="290"/>
      <c r="I14" s="256" t="s">
        <v>771</v>
      </c>
      <c r="J14" s="255">
        <v>0</v>
      </c>
      <c r="N14" s="290"/>
      <c r="O14" s="291" t="s">
        <v>808</v>
      </c>
      <c r="P14" s="290"/>
      <c r="Q14" s="290"/>
      <c r="R14" s="290"/>
      <c r="S14" s="290"/>
      <c r="T14" s="290"/>
      <c r="U14" s="290"/>
      <c r="V14" s="290"/>
      <c r="W14" s="290"/>
    </row>
    <row r="15" spans="1:23" ht="45">
      <c r="A15" s="322" t="s">
        <v>1088</v>
      </c>
      <c r="B15" s="323" t="s">
        <v>869</v>
      </c>
      <c r="C15" s="291" t="s">
        <v>770</v>
      </c>
      <c r="D15" s="290"/>
      <c r="E15" s="290"/>
      <c r="F15" s="290"/>
      <c r="G15" s="290"/>
      <c r="H15" s="290"/>
      <c r="I15" s="256" t="s">
        <v>771</v>
      </c>
      <c r="J15" s="255">
        <v>0</v>
      </c>
      <c r="N15" s="290"/>
      <c r="O15" s="290" t="s">
        <v>810</v>
      </c>
      <c r="P15" s="290"/>
      <c r="Q15" s="290"/>
      <c r="R15" s="290"/>
      <c r="S15" s="290"/>
      <c r="T15" s="290"/>
      <c r="U15" s="290"/>
      <c r="V15" s="290"/>
      <c r="W15" s="290"/>
    </row>
    <row r="16" spans="1:23" ht="15">
      <c r="A16" s="322" t="s">
        <v>870</v>
      </c>
      <c r="B16" s="317" t="s">
        <v>871</v>
      </c>
      <c r="C16" s="318" t="s">
        <v>770</v>
      </c>
      <c r="D16" s="316"/>
      <c r="E16" s="317"/>
      <c r="F16" s="317"/>
      <c r="G16" s="317"/>
      <c r="H16" s="317"/>
      <c r="I16" s="316" t="s">
        <v>771</v>
      </c>
      <c r="J16" s="316">
        <v>0</v>
      </c>
      <c r="N16" s="290"/>
      <c r="O16" s="290" t="s">
        <v>812</v>
      </c>
      <c r="P16" s="290"/>
      <c r="Q16" s="290"/>
      <c r="R16" s="290"/>
      <c r="S16" s="290"/>
      <c r="T16" s="290"/>
      <c r="U16" s="290"/>
      <c r="V16" s="290"/>
      <c r="W16" s="290"/>
    </row>
    <row r="17" spans="1:23" ht="15">
      <c r="A17" s="322" t="s">
        <v>872</v>
      </c>
      <c r="B17" s="317" t="s">
        <v>873</v>
      </c>
      <c r="C17" s="318" t="s">
        <v>770</v>
      </c>
      <c r="D17" s="316"/>
      <c r="E17" s="317"/>
      <c r="F17" s="317"/>
      <c r="G17" s="317"/>
      <c r="H17" s="317"/>
      <c r="I17" s="316" t="s">
        <v>771</v>
      </c>
      <c r="J17" s="316">
        <v>0</v>
      </c>
      <c r="N17" s="290"/>
      <c r="O17" s="290" t="s">
        <v>814</v>
      </c>
      <c r="P17" s="290"/>
      <c r="Q17" s="290"/>
      <c r="R17" s="290"/>
      <c r="S17" s="290"/>
      <c r="T17" s="290"/>
      <c r="U17" s="290"/>
      <c r="V17" s="290"/>
      <c r="W17" s="290"/>
    </row>
    <row r="18" spans="1:23" ht="15">
      <c r="A18" s="322" t="s">
        <v>874</v>
      </c>
      <c r="B18" s="317" t="s">
        <v>875</v>
      </c>
      <c r="C18" s="318" t="s">
        <v>777</v>
      </c>
      <c r="D18" s="316"/>
      <c r="E18" s="317"/>
      <c r="F18" s="317"/>
      <c r="G18" s="317"/>
      <c r="H18" s="317"/>
      <c r="I18" s="316" t="s">
        <v>771</v>
      </c>
      <c r="J18" s="316">
        <v>0</v>
      </c>
      <c r="N18" s="290"/>
      <c r="O18" s="290" t="s">
        <v>816</v>
      </c>
      <c r="P18" s="290"/>
      <c r="Q18" s="290"/>
      <c r="R18" s="290"/>
      <c r="S18" s="290"/>
      <c r="T18" s="290"/>
      <c r="U18" s="290"/>
      <c r="V18" s="290"/>
      <c r="W18" s="290"/>
    </row>
    <row r="19" spans="1:23" ht="15">
      <c r="A19" s="322" t="s">
        <v>876</v>
      </c>
      <c r="B19" s="317" t="s">
        <v>877</v>
      </c>
      <c r="C19" s="318" t="s">
        <v>770</v>
      </c>
      <c r="D19" s="316"/>
      <c r="E19" s="317"/>
      <c r="F19" s="317"/>
      <c r="G19" s="317"/>
      <c r="H19" s="317"/>
      <c r="I19" s="316" t="s">
        <v>771</v>
      </c>
      <c r="J19" s="316">
        <v>0</v>
      </c>
      <c r="N19" s="290"/>
      <c r="O19" s="290" t="s">
        <v>818</v>
      </c>
      <c r="P19" s="290"/>
      <c r="Q19" s="290"/>
      <c r="R19" s="290"/>
      <c r="S19" s="290"/>
      <c r="T19" s="290"/>
      <c r="U19" s="290"/>
      <c r="V19" s="290"/>
      <c r="W19" s="290"/>
    </row>
    <row r="20" spans="1:23" ht="15">
      <c r="A20" s="322" t="s">
        <v>878</v>
      </c>
      <c r="B20" s="317" t="s">
        <v>879</v>
      </c>
      <c r="C20" s="318" t="s">
        <v>770</v>
      </c>
      <c r="D20" s="316"/>
      <c r="E20" s="317"/>
      <c r="F20" s="317"/>
      <c r="G20" s="317"/>
      <c r="H20" s="317"/>
      <c r="I20" s="316" t="s">
        <v>771</v>
      </c>
      <c r="J20" s="316">
        <v>0</v>
      </c>
      <c r="N20" s="290"/>
      <c r="O20" s="290" t="s">
        <v>820</v>
      </c>
      <c r="P20" s="290"/>
      <c r="Q20" s="290"/>
      <c r="R20" s="290"/>
      <c r="S20" s="290"/>
      <c r="T20" s="290"/>
      <c r="U20" s="290"/>
      <c r="V20" s="290"/>
      <c r="W20" s="290"/>
    </row>
    <row r="21" spans="1:23" ht="28.9" customHeight="1">
      <c r="A21" s="316">
        <v>1</v>
      </c>
      <c r="B21" s="324" t="s">
        <v>769</v>
      </c>
      <c r="C21" s="324" t="s">
        <v>777</v>
      </c>
      <c r="D21" s="325"/>
      <c r="E21" s="326"/>
      <c r="F21" s="326"/>
      <c r="G21" s="326"/>
      <c r="H21" s="326"/>
      <c r="I21" s="324" t="s">
        <v>771</v>
      </c>
      <c r="J21" s="316">
        <v>0</v>
      </c>
      <c r="N21" s="290"/>
      <c r="O21" s="290" t="s">
        <v>1089</v>
      </c>
      <c r="P21" s="290"/>
      <c r="Q21" s="290"/>
      <c r="R21" s="290"/>
      <c r="S21" s="290"/>
      <c r="T21" s="290"/>
      <c r="U21" s="290"/>
      <c r="V21" s="290"/>
      <c r="W21" s="290"/>
    </row>
    <row r="22" spans="1:23" ht="25.5">
      <c r="A22" s="317">
        <v>2</v>
      </c>
      <c r="B22" s="324" t="s">
        <v>773</v>
      </c>
      <c r="C22" s="324" t="s">
        <v>770</v>
      </c>
      <c r="D22" s="326"/>
      <c r="E22" s="326"/>
      <c r="F22" s="326"/>
      <c r="G22" s="326"/>
      <c r="H22" s="326"/>
      <c r="I22" s="324" t="s">
        <v>771</v>
      </c>
      <c r="J22" s="316">
        <v>0</v>
      </c>
      <c r="N22" s="290"/>
      <c r="O22" s="290" t="s">
        <v>1090</v>
      </c>
      <c r="P22" s="290"/>
      <c r="Q22" s="290"/>
      <c r="R22" s="290"/>
      <c r="S22" s="290"/>
      <c r="T22" s="290"/>
      <c r="U22" s="290"/>
      <c r="V22" s="290"/>
      <c r="W22" s="290"/>
    </row>
    <row r="23" spans="1:23" ht="25.5">
      <c r="A23" s="317">
        <v>3</v>
      </c>
      <c r="B23" s="324" t="s">
        <v>776</v>
      </c>
      <c r="C23" s="324" t="s">
        <v>777</v>
      </c>
      <c r="D23" s="326"/>
      <c r="E23" s="326"/>
      <c r="F23" s="326"/>
      <c r="G23" s="326"/>
      <c r="H23" s="326"/>
      <c r="I23" s="316" t="s">
        <v>778</v>
      </c>
      <c r="J23" s="316">
        <v>0.25</v>
      </c>
      <c r="N23" s="290"/>
      <c r="O23" s="290" t="s">
        <v>822</v>
      </c>
      <c r="P23" s="290"/>
      <c r="Q23" s="290"/>
      <c r="R23" s="290"/>
      <c r="S23" s="290"/>
      <c r="T23" s="290"/>
      <c r="U23" s="290"/>
      <c r="V23" s="290"/>
      <c r="W23" s="290"/>
    </row>
    <row r="24" spans="1:23" ht="25.5">
      <c r="A24" s="317">
        <v>4</v>
      </c>
      <c r="B24" s="324" t="s">
        <v>782</v>
      </c>
      <c r="C24" s="324" t="s">
        <v>777</v>
      </c>
      <c r="D24" s="326"/>
      <c r="E24" s="326"/>
      <c r="F24" s="326"/>
      <c r="G24" s="326"/>
      <c r="H24" s="326"/>
      <c r="I24" s="324" t="s">
        <v>771</v>
      </c>
      <c r="J24" s="316">
        <v>0</v>
      </c>
      <c r="N24" s="290"/>
      <c r="O24" s="290" t="s">
        <v>825</v>
      </c>
      <c r="P24" s="290"/>
      <c r="Q24" s="290"/>
      <c r="R24" s="290"/>
      <c r="S24" s="290"/>
      <c r="T24" s="290"/>
      <c r="U24" s="290"/>
      <c r="V24" s="290"/>
      <c r="W24" s="290"/>
    </row>
    <row r="25" spans="1:23" ht="25.5">
      <c r="A25" s="317">
        <v>5</v>
      </c>
      <c r="B25" s="324" t="s">
        <v>785</v>
      </c>
      <c r="C25" s="324" t="s">
        <v>777</v>
      </c>
      <c r="D25" s="326"/>
      <c r="E25" s="326"/>
      <c r="F25" s="326"/>
      <c r="G25" s="326"/>
      <c r="H25" s="326"/>
      <c r="I25" s="324" t="s">
        <v>771</v>
      </c>
      <c r="J25" s="316">
        <v>0</v>
      </c>
      <c r="N25" s="290"/>
      <c r="O25" s="290" t="s">
        <v>827</v>
      </c>
      <c r="P25" s="290"/>
      <c r="Q25" s="290"/>
      <c r="R25" s="290"/>
      <c r="S25" s="290"/>
      <c r="T25" s="290"/>
      <c r="U25" s="290"/>
      <c r="V25" s="290"/>
      <c r="W25" s="290"/>
    </row>
    <row r="26" spans="1:23" ht="25.5">
      <c r="A26" s="317">
        <v>6</v>
      </c>
      <c r="B26" s="324" t="s">
        <v>788</v>
      </c>
      <c r="C26" s="324" t="s">
        <v>777</v>
      </c>
      <c r="D26" s="326"/>
      <c r="E26" s="326"/>
      <c r="F26" s="326"/>
      <c r="G26" s="326"/>
      <c r="H26" s="326"/>
      <c r="I26" s="324" t="s">
        <v>771</v>
      </c>
      <c r="J26" s="316">
        <v>0</v>
      </c>
      <c r="N26" s="290"/>
      <c r="O26" s="290" t="s">
        <v>829</v>
      </c>
      <c r="P26" s="290"/>
      <c r="Q26" s="290"/>
      <c r="R26" s="290"/>
      <c r="S26" s="290"/>
      <c r="T26" s="290"/>
      <c r="U26" s="290"/>
      <c r="V26" s="290"/>
      <c r="W26" s="290"/>
    </row>
    <row r="27" spans="1:23" ht="25.5">
      <c r="A27" s="317">
        <v>7</v>
      </c>
      <c r="B27" s="324" t="s">
        <v>791</v>
      </c>
      <c r="C27" s="324" t="s">
        <v>777</v>
      </c>
      <c r="D27" s="326"/>
      <c r="E27" s="326"/>
      <c r="F27" s="326"/>
      <c r="G27" s="326"/>
      <c r="H27" s="326"/>
      <c r="I27" s="324" t="s">
        <v>771</v>
      </c>
      <c r="J27" s="316">
        <v>0</v>
      </c>
      <c r="N27" s="290"/>
      <c r="O27" s="290" t="s">
        <v>831</v>
      </c>
      <c r="P27" s="290"/>
      <c r="Q27" s="290"/>
      <c r="R27" s="290"/>
      <c r="S27" s="290"/>
      <c r="T27" s="290"/>
      <c r="U27" s="290"/>
      <c r="V27" s="290"/>
      <c r="W27" s="290"/>
    </row>
    <row r="28" spans="1:23" ht="25.5">
      <c r="A28" s="317">
        <v>8</v>
      </c>
      <c r="B28" s="324" t="s">
        <v>794</v>
      </c>
      <c r="C28" s="324" t="s">
        <v>770</v>
      </c>
      <c r="D28" s="326"/>
      <c r="E28" s="326"/>
      <c r="F28" s="326"/>
      <c r="G28" s="326"/>
      <c r="H28" s="326"/>
      <c r="I28" s="324" t="s">
        <v>771</v>
      </c>
      <c r="J28" s="316">
        <v>0</v>
      </c>
      <c r="N28" s="290"/>
      <c r="O28" s="290" t="s">
        <v>833</v>
      </c>
      <c r="P28" s="290"/>
      <c r="Q28" s="290"/>
      <c r="R28" s="290"/>
      <c r="S28" s="290"/>
      <c r="T28" s="290"/>
      <c r="U28" s="290"/>
      <c r="V28" s="290"/>
      <c r="W28" s="290"/>
    </row>
    <row r="29" spans="1:23" ht="25.5">
      <c r="A29" s="317">
        <v>9</v>
      </c>
      <c r="B29" s="324" t="s">
        <v>796</v>
      </c>
      <c r="C29" s="324" t="s">
        <v>770</v>
      </c>
      <c r="D29" s="326"/>
      <c r="E29" s="326"/>
      <c r="F29" s="326"/>
      <c r="G29" s="326"/>
      <c r="H29" s="326"/>
      <c r="I29" s="324" t="s">
        <v>771</v>
      </c>
      <c r="J29" s="316">
        <v>0</v>
      </c>
      <c r="N29" s="290"/>
      <c r="O29" s="290" t="s">
        <v>836</v>
      </c>
      <c r="P29" s="290"/>
      <c r="Q29" s="290"/>
      <c r="R29" s="290"/>
      <c r="S29" s="290"/>
      <c r="T29" s="290"/>
      <c r="U29" s="290"/>
      <c r="V29" s="290"/>
      <c r="W29" s="290"/>
    </row>
    <row r="30" spans="1:23" ht="25.5">
      <c r="A30" s="317">
        <v>10</v>
      </c>
      <c r="B30" s="324" t="s">
        <v>798</v>
      </c>
      <c r="C30" s="324" t="s">
        <v>777</v>
      </c>
      <c r="D30" s="326"/>
      <c r="E30" s="326"/>
      <c r="F30" s="326"/>
      <c r="G30" s="326"/>
      <c r="H30" s="326"/>
      <c r="I30" s="316" t="s">
        <v>799</v>
      </c>
      <c r="J30" s="316">
        <v>0.25</v>
      </c>
      <c r="N30" s="290"/>
      <c r="O30" s="290" t="s">
        <v>838</v>
      </c>
      <c r="P30" s="290"/>
      <c r="Q30" s="290"/>
      <c r="R30" s="290"/>
      <c r="S30" s="290"/>
      <c r="T30" s="290"/>
      <c r="U30" s="290"/>
      <c r="V30" s="290"/>
      <c r="W30" s="290"/>
    </row>
    <row r="31" spans="1:23" ht="25.5">
      <c r="A31" s="317">
        <v>11</v>
      </c>
      <c r="B31" s="324" t="s">
        <v>801</v>
      </c>
      <c r="C31" s="324" t="s">
        <v>770</v>
      </c>
      <c r="D31" s="326"/>
      <c r="E31" s="326"/>
      <c r="F31" s="326"/>
      <c r="G31" s="326"/>
      <c r="H31" s="326"/>
      <c r="I31" s="324" t="s">
        <v>771</v>
      </c>
      <c r="J31" s="316">
        <v>0</v>
      </c>
      <c r="N31" s="290"/>
      <c r="O31" s="290" t="s">
        <v>840</v>
      </c>
      <c r="P31" s="290"/>
      <c r="Q31" s="290"/>
      <c r="R31" s="290"/>
      <c r="S31" s="290"/>
      <c r="T31" s="290"/>
      <c r="U31" s="290"/>
      <c r="V31" s="290"/>
      <c r="W31" s="290"/>
    </row>
    <row r="32" spans="1:23" ht="25.5">
      <c r="A32" s="317">
        <v>12</v>
      </c>
      <c r="B32" s="324" t="s">
        <v>803</v>
      </c>
      <c r="C32" s="324" t="s">
        <v>777</v>
      </c>
      <c r="D32" s="326"/>
      <c r="E32" s="326"/>
      <c r="F32" s="326"/>
      <c r="G32" s="326"/>
      <c r="H32" s="326"/>
      <c r="I32" s="316" t="s">
        <v>804</v>
      </c>
      <c r="J32" s="316">
        <v>0.25</v>
      </c>
      <c r="N32" s="290"/>
      <c r="O32" s="290" t="s">
        <v>842</v>
      </c>
      <c r="P32" s="290"/>
      <c r="Q32" s="290"/>
      <c r="R32" s="290"/>
      <c r="S32" s="290"/>
      <c r="T32" s="290"/>
      <c r="U32" s="290"/>
      <c r="V32" s="290"/>
      <c r="W32" s="290"/>
    </row>
    <row r="33" spans="1:23" ht="38.25">
      <c r="A33" s="317">
        <v>13</v>
      </c>
      <c r="B33" s="324" t="s">
        <v>806</v>
      </c>
      <c r="C33" s="324" t="s">
        <v>770</v>
      </c>
      <c r="D33" s="326"/>
      <c r="E33" s="326"/>
      <c r="F33" s="326"/>
      <c r="G33" s="326"/>
      <c r="H33" s="326"/>
      <c r="I33" s="324" t="s">
        <v>807</v>
      </c>
      <c r="J33" s="316">
        <v>0.25</v>
      </c>
      <c r="N33" s="290"/>
      <c r="O33" s="290" t="s">
        <v>844</v>
      </c>
      <c r="P33" s="290"/>
      <c r="Q33" s="290"/>
      <c r="R33" s="290"/>
      <c r="S33" s="290"/>
      <c r="T33" s="290"/>
      <c r="U33" s="290"/>
      <c r="V33" s="290"/>
      <c r="W33" s="290"/>
    </row>
    <row r="34" spans="1:23" ht="25.5">
      <c r="A34" s="317">
        <v>14</v>
      </c>
      <c r="B34" s="324" t="s">
        <v>809</v>
      </c>
      <c r="C34" s="324" t="s">
        <v>777</v>
      </c>
      <c r="D34" s="326"/>
      <c r="E34" s="326"/>
      <c r="F34" s="326"/>
      <c r="G34" s="326"/>
      <c r="H34" s="326"/>
      <c r="I34" s="324" t="s">
        <v>771</v>
      </c>
      <c r="J34" s="316">
        <v>0</v>
      </c>
      <c r="N34" s="290"/>
      <c r="O34" s="290" t="s">
        <v>846</v>
      </c>
      <c r="P34" s="290"/>
      <c r="Q34" s="290"/>
      <c r="R34" s="290"/>
      <c r="S34" s="290"/>
      <c r="T34" s="290"/>
      <c r="U34" s="290"/>
      <c r="V34" s="290"/>
      <c r="W34" s="290"/>
    </row>
    <row r="35" spans="1:23" ht="25.5">
      <c r="A35" s="317">
        <v>15</v>
      </c>
      <c r="B35" s="324" t="s">
        <v>811</v>
      </c>
      <c r="C35" s="324" t="s">
        <v>777</v>
      </c>
      <c r="D35" s="326"/>
      <c r="E35" s="326"/>
      <c r="F35" s="326"/>
      <c r="G35" s="326"/>
      <c r="H35" s="326"/>
      <c r="I35" s="324" t="s">
        <v>771</v>
      </c>
      <c r="J35" s="316">
        <v>0</v>
      </c>
      <c r="N35" s="290"/>
      <c r="O35" s="290" t="s">
        <v>848</v>
      </c>
      <c r="P35" s="290"/>
      <c r="Q35" s="290"/>
      <c r="R35" s="290"/>
      <c r="S35" s="290"/>
      <c r="T35" s="290"/>
      <c r="U35" s="290"/>
      <c r="V35" s="290"/>
      <c r="W35" s="290"/>
    </row>
    <row r="36" spans="1:23" ht="25.5">
      <c r="A36" s="317">
        <v>16</v>
      </c>
      <c r="B36" s="324" t="s">
        <v>813</v>
      </c>
      <c r="C36" s="324" t="s">
        <v>777</v>
      </c>
      <c r="D36" s="326"/>
      <c r="E36" s="326"/>
      <c r="F36" s="326"/>
      <c r="G36" s="326"/>
      <c r="H36" s="326"/>
      <c r="I36" s="324" t="s">
        <v>771</v>
      </c>
      <c r="J36" s="316">
        <v>0</v>
      </c>
      <c r="N36" s="290"/>
      <c r="O36" s="290" t="s">
        <v>850</v>
      </c>
      <c r="P36" s="290"/>
      <c r="Q36" s="290"/>
      <c r="R36" s="290"/>
      <c r="S36" s="290"/>
      <c r="T36" s="290"/>
      <c r="U36" s="290"/>
      <c r="V36" s="290"/>
      <c r="W36" s="290"/>
    </row>
    <row r="37" spans="1:23" ht="25.5">
      <c r="A37" s="317">
        <v>17</v>
      </c>
      <c r="B37" s="324" t="s">
        <v>815</v>
      </c>
      <c r="C37" s="324" t="s">
        <v>1075</v>
      </c>
      <c r="D37" s="326"/>
      <c r="E37" s="326"/>
      <c r="F37" s="326"/>
      <c r="G37" s="326"/>
      <c r="H37" s="326"/>
      <c r="I37" s="324" t="s">
        <v>771</v>
      </c>
      <c r="J37" s="316">
        <v>0</v>
      </c>
      <c r="O37" s="290" t="s">
        <v>852</v>
      </c>
    </row>
    <row r="38" spans="1:23" ht="25.5">
      <c r="A38" s="317">
        <v>18</v>
      </c>
      <c r="B38" s="324" t="s">
        <v>817</v>
      </c>
      <c r="C38" s="324" t="s">
        <v>1075</v>
      </c>
      <c r="D38" s="326"/>
      <c r="E38" s="326"/>
      <c r="F38" s="326"/>
      <c r="G38" s="326"/>
      <c r="H38" s="326"/>
      <c r="I38" s="324" t="s">
        <v>771</v>
      </c>
      <c r="J38" s="316">
        <v>0</v>
      </c>
      <c r="O38" s="290" t="s">
        <v>854</v>
      </c>
    </row>
    <row r="39" spans="1:23" ht="25.5">
      <c r="A39" s="317">
        <v>19</v>
      </c>
      <c r="B39" s="324" t="s">
        <v>819</v>
      </c>
      <c r="C39" s="324" t="s">
        <v>1075</v>
      </c>
      <c r="D39" s="326"/>
      <c r="E39" s="326"/>
      <c r="F39" s="326"/>
      <c r="G39" s="326"/>
      <c r="H39" s="326"/>
      <c r="I39" s="324" t="s">
        <v>771</v>
      </c>
      <c r="J39" s="316">
        <v>0</v>
      </c>
    </row>
    <row r="40" spans="1:23" ht="25.5">
      <c r="A40" s="317">
        <v>20</v>
      </c>
      <c r="B40" s="324" t="s">
        <v>821</v>
      </c>
      <c r="C40" s="324" t="s">
        <v>770</v>
      </c>
      <c r="D40" s="326"/>
      <c r="E40" s="326"/>
      <c r="F40" s="326"/>
      <c r="G40" s="326"/>
      <c r="H40" s="326"/>
      <c r="I40" s="324" t="s">
        <v>771</v>
      </c>
      <c r="J40" s="316">
        <v>0</v>
      </c>
    </row>
    <row r="41" spans="1:23">
      <c r="A41" s="317">
        <v>21</v>
      </c>
      <c r="B41" s="324" t="s">
        <v>823</v>
      </c>
      <c r="C41" s="324" t="s">
        <v>770</v>
      </c>
      <c r="D41" s="326"/>
      <c r="E41" s="326"/>
      <c r="F41" s="326"/>
      <c r="G41" s="326"/>
      <c r="H41" s="326"/>
      <c r="I41" s="316" t="s">
        <v>824</v>
      </c>
      <c r="J41" s="316">
        <v>0.25</v>
      </c>
    </row>
    <row r="42" spans="1:23" ht="25.5">
      <c r="A42" s="317">
        <v>22</v>
      </c>
      <c r="B42" s="324" t="s">
        <v>826</v>
      </c>
      <c r="C42" s="324" t="s">
        <v>770</v>
      </c>
      <c r="D42" s="326"/>
      <c r="E42" s="326"/>
      <c r="F42" s="326"/>
      <c r="G42" s="326"/>
      <c r="H42" s="326"/>
      <c r="I42" s="324" t="s">
        <v>771</v>
      </c>
      <c r="J42" s="316">
        <v>0</v>
      </c>
    </row>
    <row r="43" spans="1:23" ht="25.5">
      <c r="A43" s="317">
        <v>23</v>
      </c>
      <c r="B43" s="324" t="s">
        <v>828</v>
      </c>
      <c r="C43" s="324" t="s">
        <v>777</v>
      </c>
      <c r="D43" s="326"/>
      <c r="E43" s="326"/>
      <c r="F43" s="326"/>
      <c r="G43" s="326"/>
      <c r="H43" s="326"/>
      <c r="I43" s="324" t="s">
        <v>771</v>
      </c>
      <c r="J43" s="316">
        <v>0</v>
      </c>
    </row>
    <row r="44" spans="1:23" ht="25.5">
      <c r="A44" s="317">
        <v>24</v>
      </c>
      <c r="B44" s="324" t="s">
        <v>830</v>
      </c>
      <c r="C44" s="324" t="s">
        <v>770</v>
      </c>
      <c r="D44" s="326"/>
      <c r="E44" s="326"/>
      <c r="F44" s="326"/>
      <c r="G44" s="326"/>
      <c r="H44" s="326"/>
      <c r="I44" s="324" t="s">
        <v>771</v>
      </c>
      <c r="J44" s="316">
        <v>0</v>
      </c>
    </row>
    <row r="45" spans="1:23" ht="25.5">
      <c r="A45" s="317">
        <v>25</v>
      </c>
      <c r="B45" s="324" t="s">
        <v>832</v>
      </c>
      <c r="C45" s="324" t="s">
        <v>770</v>
      </c>
      <c r="D45" s="326"/>
      <c r="E45" s="326"/>
      <c r="F45" s="326"/>
      <c r="G45" s="326"/>
      <c r="H45" s="326"/>
      <c r="I45" s="324" t="s">
        <v>771</v>
      </c>
      <c r="J45" s="316">
        <v>0</v>
      </c>
    </row>
    <row r="46" spans="1:23" ht="25.5">
      <c r="A46" s="317">
        <v>26</v>
      </c>
      <c r="B46" s="324" t="s">
        <v>834</v>
      </c>
      <c r="C46" s="324" t="s">
        <v>770</v>
      </c>
      <c r="D46" s="326"/>
      <c r="E46" s="326"/>
      <c r="F46" s="326"/>
      <c r="G46" s="326"/>
      <c r="H46" s="326"/>
      <c r="I46" s="316" t="s">
        <v>835</v>
      </c>
      <c r="J46" s="316">
        <v>0.25</v>
      </c>
    </row>
    <row r="47" spans="1:23" ht="25.5">
      <c r="A47" s="317">
        <v>27</v>
      </c>
      <c r="B47" s="324" t="s">
        <v>837</v>
      </c>
      <c r="C47" s="324" t="s">
        <v>770</v>
      </c>
      <c r="D47" s="326"/>
      <c r="E47" s="326"/>
      <c r="F47" s="326"/>
      <c r="G47" s="326"/>
      <c r="H47" s="326"/>
      <c r="I47" s="324" t="s">
        <v>771</v>
      </c>
      <c r="J47" s="316">
        <v>0</v>
      </c>
    </row>
    <row r="48" spans="1:23" ht="25.5">
      <c r="A48" s="317">
        <v>28</v>
      </c>
      <c r="B48" s="324" t="s">
        <v>839</v>
      </c>
      <c r="C48" s="324" t="s">
        <v>770</v>
      </c>
      <c r="D48" s="326"/>
      <c r="E48" s="326"/>
      <c r="F48" s="326"/>
      <c r="G48" s="326"/>
      <c r="H48" s="326"/>
      <c r="I48" s="324" t="s">
        <v>771</v>
      </c>
      <c r="J48" s="316">
        <v>0</v>
      </c>
    </row>
    <row r="49" spans="1:10" ht="38.25">
      <c r="A49" s="317">
        <v>29</v>
      </c>
      <c r="B49" s="324" t="s">
        <v>841</v>
      </c>
      <c r="C49" s="324" t="s">
        <v>777</v>
      </c>
      <c r="D49" s="326"/>
      <c r="E49" s="326"/>
      <c r="F49" s="326"/>
      <c r="G49" s="326"/>
      <c r="H49" s="326"/>
      <c r="I49" s="324" t="s">
        <v>771</v>
      </c>
      <c r="J49" s="316">
        <v>0.25</v>
      </c>
    </row>
    <row r="50" spans="1:10" ht="25.5">
      <c r="A50" s="317">
        <v>30</v>
      </c>
      <c r="B50" s="324" t="s">
        <v>843</v>
      </c>
      <c r="C50" s="324" t="s">
        <v>777</v>
      </c>
      <c r="D50" s="326"/>
      <c r="E50" s="326"/>
      <c r="F50" s="326"/>
      <c r="G50" s="326"/>
      <c r="H50" s="326"/>
      <c r="I50" s="324" t="s">
        <v>771</v>
      </c>
      <c r="J50" s="316">
        <v>0</v>
      </c>
    </row>
    <row r="51" spans="1:10" ht="25.5">
      <c r="A51" s="317">
        <v>31</v>
      </c>
      <c r="B51" s="324" t="s">
        <v>845</v>
      </c>
      <c r="C51" s="324" t="s">
        <v>770</v>
      </c>
      <c r="D51" s="326"/>
      <c r="E51" s="326"/>
      <c r="F51" s="326"/>
      <c r="G51" s="326"/>
      <c r="H51" s="326"/>
      <c r="I51" s="324" t="s">
        <v>771</v>
      </c>
      <c r="J51" s="316">
        <v>0</v>
      </c>
    </row>
    <row r="52" spans="1:10" ht="25.5">
      <c r="A52" s="317">
        <v>32</v>
      </c>
      <c r="B52" s="324" t="s">
        <v>847</v>
      </c>
      <c r="C52" s="324" t="s">
        <v>777</v>
      </c>
      <c r="D52" s="326"/>
      <c r="E52" s="326"/>
      <c r="F52" s="326"/>
      <c r="G52" s="326"/>
      <c r="H52" s="326"/>
      <c r="I52" s="324" t="s">
        <v>771</v>
      </c>
      <c r="J52" s="316">
        <v>0</v>
      </c>
    </row>
    <row r="53" spans="1:10" ht="25.5">
      <c r="A53" s="317">
        <v>33</v>
      </c>
      <c r="B53" s="324" t="s">
        <v>849</v>
      </c>
      <c r="C53" s="324" t="s">
        <v>777</v>
      </c>
      <c r="D53" s="326"/>
      <c r="E53" s="326"/>
      <c r="F53" s="326"/>
      <c r="G53" s="326"/>
      <c r="H53" s="326"/>
      <c r="I53" s="324" t="s">
        <v>771</v>
      </c>
      <c r="J53" s="316">
        <v>0</v>
      </c>
    </row>
    <row r="54" spans="1:10" ht="38.25">
      <c r="A54" s="317">
        <v>34</v>
      </c>
      <c r="B54" s="324" t="s">
        <v>851</v>
      </c>
      <c r="C54" s="324" t="s">
        <v>770</v>
      </c>
      <c r="D54" s="326"/>
      <c r="E54" s="326"/>
      <c r="F54" s="326"/>
      <c r="G54" s="326"/>
      <c r="H54" s="326"/>
      <c r="I54" s="324" t="s">
        <v>771</v>
      </c>
      <c r="J54" s="316">
        <v>0</v>
      </c>
    </row>
    <row r="55" spans="1:10" ht="25.5">
      <c r="A55" s="317">
        <v>35</v>
      </c>
      <c r="B55" s="324" t="s">
        <v>853</v>
      </c>
      <c r="C55" s="324" t="s">
        <v>777</v>
      </c>
      <c r="D55" s="326"/>
      <c r="E55" s="326"/>
      <c r="F55" s="326"/>
      <c r="G55" s="326"/>
      <c r="H55" s="326"/>
      <c r="I55" s="324" t="s">
        <v>771</v>
      </c>
      <c r="J55" s="316">
        <v>0</v>
      </c>
    </row>
    <row r="56" spans="1:10" ht="25.5">
      <c r="A56" s="317">
        <v>36</v>
      </c>
      <c r="B56" s="324" t="s">
        <v>855</v>
      </c>
      <c r="C56" s="324" t="s">
        <v>777</v>
      </c>
      <c r="D56" s="326"/>
      <c r="E56" s="326"/>
      <c r="F56" s="326"/>
      <c r="G56" s="326"/>
      <c r="H56" s="326"/>
      <c r="I56" s="324" t="s">
        <v>771</v>
      </c>
      <c r="J56" s="316">
        <v>0</v>
      </c>
    </row>
    <row r="57" spans="1:10" ht="25.5">
      <c r="A57" s="317">
        <v>37</v>
      </c>
      <c r="B57" s="324" t="s">
        <v>856</v>
      </c>
      <c r="C57" s="324" t="s">
        <v>777</v>
      </c>
      <c r="D57" s="326"/>
      <c r="E57" s="326"/>
      <c r="F57" s="326"/>
      <c r="G57" s="326"/>
      <c r="H57" s="326"/>
      <c r="I57" s="324" t="s">
        <v>771</v>
      </c>
      <c r="J57" s="316">
        <v>0</v>
      </c>
    </row>
    <row r="58" spans="1:10" ht="25.5">
      <c r="A58" s="317">
        <v>38</v>
      </c>
      <c r="B58" s="324" t="s">
        <v>857</v>
      </c>
      <c r="C58" s="324" t="s">
        <v>770</v>
      </c>
      <c r="D58" s="326"/>
      <c r="E58" s="326"/>
      <c r="F58" s="326"/>
      <c r="G58" s="326"/>
      <c r="H58" s="326"/>
      <c r="I58" s="324" t="s">
        <v>771</v>
      </c>
      <c r="J58" s="316">
        <v>0</v>
      </c>
    </row>
    <row r="59" spans="1:10" ht="25.5">
      <c r="A59" s="317">
        <v>39</v>
      </c>
      <c r="B59" s="324" t="s">
        <v>858</v>
      </c>
      <c r="C59" s="324" t="s">
        <v>770</v>
      </c>
      <c r="D59" s="326"/>
      <c r="E59" s="326"/>
      <c r="F59" s="326"/>
      <c r="G59" s="326"/>
      <c r="H59" s="326"/>
      <c r="I59" s="324" t="s">
        <v>771</v>
      </c>
      <c r="J59" s="316">
        <v>0</v>
      </c>
    </row>
    <row r="60" spans="1:10" ht="25.5">
      <c r="A60" s="317" t="s">
        <v>153</v>
      </c>
      <c r="B60" s="324" t="s">
        <v>859</v>
      </c>
      <c r="C60" s="327" t="s">
        <v>770</v>
      </c>
      <c r="D60" s="326"/>
      <c r="E60" s="326"/>
      <c r="F60" s="326"/>
      <c r="G60" s="326"/>
      <c r="H60" s="326"/>
      <c r="I60" s="324" t="s">
        <v>771</v>
      </c>
      <c r="J60" s="316">
        <v>0</v>
      </c>
    </row>
    <row r="61" spans="1:10" ht="25.5">
      <c r="A61" s="322" t="s">
        <v>860</v>
      </c>
      <c r="B61" s="322" t="s">
        <v>861</v>
      </c>
      <c r="C61" s="328" t="s">
        <v>770</v>
      </c>
      <c r="I61" s="324" t="s">
        <v>771</v>
      </c>
      <c r="J61" s="316">
        <v>0</v>
      </c>
    </row>
    <row r="62" spans="1:10" ht="25.5">
      <c r="A62" s="322" t="s">
        <v>862</v>
      </c>
      <c r="B62" s="324" t="s">
        <v>863</v>
      </c>
      <c r="C62" s="329" t="s">
        <v>777</v>
      </c>
      <c r="I62" s="324" t="s">
        <v>771</v>
      </c>
      <c r="J62" s="316">
        <v>0</v>
      </c>
    </row>
    <row r="63" spans="1:10" ht="25.5">
      <c r="A63" s="322" t="s">
        <v>868</v>
      </c>
      <c r="B63" s="322" t="s">
        <v>869</v>
      </c>
      <c r="C63" s="329" t="s">
        <v>770</v>
      </c>
      <c r="I63" s="324" t="s">
        <v>771</v>
      </c>
      <c r="J63" s="316">
        <v>0</v>
      </c>
    </row>
    <row r="64" spans="1:10" ht="38.25">
      <c r="A64" s="319" t="s">
        <v>880</v>
      </c>
      <c r="B64" s="330" t="s">
        <v>881</v>
      </c>
      <c r="C64" s="329" t="s">
        <v>770</v>
      </c>
      <c r="I64" s="324" t="s">
        <v>771</v>
      </c>
      <c r="J64" s="316">
        <v>0</v>
      </c>
    </row>
    <row r="65" spans="1:10" ht="38.25">
      <c r="A65" s="319" t="s">
        <v>882</v>
      </c>
      <c r="B65" s="330" t="s">
        <v>883</v>
      </c>
      <c r="C65" s="329" t="s">
        <v>770</v>
      </c>
      <c r="I65" s="324" t="s">
        <v>771</v>
      </c>
      <c r="J65" s="316">
        <v>0</v>
      </c>
    </row>
    <row r="66" spans="1:10" ht="25.5">
      <c r="A66" s="319" t="s">
        <v>884</v>
      </c>
      <c r="B66" s="330" t="s">
        <v>885</v>
      </c>
      <c r="C66" s="329" t="s">
        <v>770</v>
      </c>
      <c r="I66" s="324" t="s">
        <v>771</v>
      </c>
      <c r="J66" s="316">
        <v>0</v>
      </c>
    </row>
    <row r="67" spans="1:10" ht="51">
      <c r="A67" s="319" t="s">
        <v>461</v>
      </c>
      <c r="B67" s="330" t="s">
        <v>886</v>
      </c>
      <c r="C67" s="329" t="s">
        <v>770</v>
      </c>
      <c r="I67" s="324" t="s">
        <v>771</v>
      </c>
      <c r="J67" s="316">
        <v>0</v>
      </c>
    </row>
    <row r="68" spans="1:10" ht="25.5">
      <c r="A68" s="319" t="s">
        <v>887</v>
      </c>
      <c r="B68" s="330" t="s">
        <v>888</v>
      </c>
      <c r="C68" s="329" t="s">
        <v>770</v>
      </c>
      <c r="I68" s="324" t="s">
        <v>771</v>
      </c>
      <c r="J68" s="316">
        <v>0</v>
      </c>
    </row>
    <row r="69" spans="1:10" ht="38.25">
      <c r="A69" s="319" t="s">
        <v>889</v>
      </c>
      <c r="B69" s="330" t="s">
        <v>890</v>
      </c>
      <c r="C69" s="329" t="s">
        <v>770</v>
      </c>
      <c r="I69" s="324" t="s">
        <v>771</v>
      </c>
      <c r="J69" s="316">
        <v>0</v>
      </c>
    </row>
    <row r="70" spans="1:10" ht="25.5">
      <c r="A70" s="319" t="s">
        <v>891</v>
      </c>
      <c r="B70" s="330" t="s">
        <v>892</v>
      </c>
      <c r="C70" s="329" t="s">
        <v>770</v>
      </c>
      <c r="I70" s="324" t="s">
        <v>771</v>
      </c>
      <c r="J70" s="316">
        <v>0</v>
      </c>
    </row>
    <row r="71" spans="1:10" ht="51">
      <c r="A71" s="319" t="s">
        <v>893</v>
      </c>
      <c r="B71" s="330" t="s">
        <v>894</v>
      </c>
      <c r="C71" s="329" t="s">
        <v>770</v>
      </c>
      <c r="I71" s="324" t="s">
        <v>771</v>
      </c>
      <c r="J71" s="316">
        <v>0</v>
      </c>
    </row>
  </sheetData>
  <sheetProtection algorithmName="SHA-512" hashValue="/IpZm5L+3+yxbtpIB1PEvvCJfiXVW6xvFGPba3U6t5e9gvncKV9AMLF59GnMpnFHmnqmohL8BABZ2hUThXlSSQ==" saltValue="QUKPfxpdouBWpjcbJfcTug==" spinCount="100000" sheet="1" objects="1" scenarios="1"/>
  <dataValidations count="1">
    <dataValidation type="list" allowBlank="1" showInputMessage="1" showErrorMessage="1" sqref="C21:C1048576 C2:C12 C14:C15" xr:uid="{00000000-0002-0000-0F00-000000000000}">
      <formula1>"Accredit, Accredit (ACCREDIA), Accredit (EGAC), Non-Accredit"</formula1>
    </dataValidation>
  </dataValidations>
  <pageMargins left="0.7" right="0.7" top="0.75" bottom="0.75" header="0.3" footer="0.3"/>
  <pageSetup orientation="portrait" verticalDpi="300" r:id="rId1"/>
  <customProperties>
    <customPr name="LastActive"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dimension ref="A1:AK25"/>
  <sheetViews>
    <sheetView workbookViewId="0">
      <selection sqref="A1:AK11"/>
    </sheetView>
  </sheetViews>
  <sheetFormatPr defaultColWidth="9" defaultRowHeight="15"/>
  <cols>
    <col min="1" max="1" width="5.42578125" style="206" customWidth="1"/>
    <col min="2" max="2" width="27.42578125" style="210" customWidth="1"/>
    <col min="3" max="3" width="9" style="206"/>
    <col min="4" max="8" width="9" style="208"/>
    <col min="9" max="9" width="13.5703125" style="206" customWidth="1"/>
    <col min="10" max="10" width="11.42578125" style="206" customWidth="1"/>
    <col min="11" max="16384" width="9" style="206"/>
  </cols>
  <sheetData>
    <row r="1" spans="1:37">
      <c r="A1" s="294" t="s">
        <v>201</v>
      </c>
      <c r="B1" s="295" t="s">
        <v>182</v>
      </c>
      <c r="C1" s="294" t="s">
        <v>183</v>
      </c>
      <c r="D1" s="296" t="s">
        <v>147</v>
      </c>
      <c r="E1" s="296" t="s">
        <v>148</v>
      </c>
      <c r="F1" s="296" t="s">
        <v>763</v>
      </c>
      <c r="G1" s="296" t="s">
        <v>764</v>
      </c>
      <c r="H1" s="296" t="s">
        <v>895</v>
      </c>
      <c r="I1" s="296" t="s">
        <v>151</v>
      </c>
      <c r="J1" s="290" t="s">
        <v>152</v>
      </c>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row>
    <row r="2" spans="1:37" ht="105">
      <c r="A2" s="255" t="s">
        <v>185</v>
      </c>
      <c r="B2" s="297" t="s">
        <v>388</v>
      </c>
      <c r="C2" s="99"/>
      <c r="D2" s="297" t="s">
        <v>896</v>
      </c>
      <c r="E2" s="297" t="s">
        <v>897</v>
      </c>
      <c r="F2" s="297" t="s">
        <v>898</v>
      </c>
      <c r="G2" s="297" t="s">
        <v>899</v>
      </c>
      <c r="H2" s="297" t="s">
        <v>1045</v>
      </c>
      <c r="I2" s="298" t="s">
        <v>1017</v>
      </c>
      <c r="J2" s="299" t="s">
        <v>899</v>
      </c>
      <c r="K2" s="290"/>
      <c r="L2" s="290"/>
      <c r="M2" s="290"/>
      <c r="N2" s="290"/>
      <c r="O2" s="290"/>
      <c r="P2" s="290"/>
      <c r="Q2" s="290"/>
      <c r="R2" s="99" t="s">
        <v>900</v>
      </c>
      <c r="S2" s="99">
        <v>1</v>
      </c>
      <c r="T2" s="290"/>
      <c r="U2" s="290"/>
      <c r="V2" s="290"/>
      <c r="W2" s="290"/>
      <c r="X2" s="290"/>
      <c r="Y2" s="290"/>
      <c r="Z2" s="290"/>
      <c r="AA2" s="290"/>
      <c r="AB2" s="290"/>
      <c r="AC2" s="290"/>
      <c r="AD2" s="290"/>
      <c r="AE2" s="290"/>
      <c r="AF2" s="290"/>
      <c r="AG2" s="290"/>
      <c r="AH2" s="290"/>
      <c r="AI2" s="290"/>
      <c r="AJ2" s="290"/>
      <c r="AK2" s="290"/>
    </row>
    <row r="3" spans="1:37" ht="165">
      <c r="A3" s="255" t="s">
        <v>901</v>
      </c>
      <c r="B3" s="297" t="s">
        <v>902</v>
      </c>
      <c r="C3" s="99"/>
      <c r="D3" s="297" t="s">
        <v>1056</v>
      </c>
      <c r="E3" s="297" t="s">
        <v>1018</v>
      </c>
      <c r="F3" s="297" t="s">
        <v>903</v>
      </c>
      <c r="G3" s="297" t="s">
        <v>1019</v>
      </c>
      <c r="H3" s="297" t="s">
        <v>1046</v>
      </c>
      <c r="I3" s="299" t="s">
        <v>899</v>
      </c>
      <c r="J3" s="293" t="s">
        <v>891</v>
      </c>
      <c r="K3" s="290"/>
      <c r="L3" s="290"/>
      <c r="M3" s="290"/>
      <c r="N3" s="290"/>
      <c r="O3" s="290"/>
      <c r="P3" s="290"/>
      <c r="Q3" s="290"/>
      <c r="R3" s="99" t="s">
        <v>904</v>
      </c>
      <c r="S3" s="99">
        <v>2</v>
      </c>
      <c r="T3" s="290"/>
      <c r="U3" s="290"/>
      <c r="V3" s="290"/>
      <c r="W3" s="290"/>
      <c r="X3" s="290"/>
      <c r="Y3" s="290"/>
      <c r="Z3" s="290"/>
      <c r="AA3" s="290"/>
      <c r="AB3" s="290"/>
      <c r="AC3" s="290"/>
      <c r="AD3" s="290"/>
      <c r="AE3" s="290"/>
      <c r="AF3" s="290"/>
      <c r="AG3" s="290"/>
      <c r="AH3" s="290"/>
      <c r="AI3" s="290"/>
      <c r="AJ3" s="290"/>
      <c r="AK3" s="290"/>
    </row>
    <row r="4" spans="1:37" ht="30">
      <c r="A4" s="255" t="s">
        <v>905</v>
      </c>
      <c r="B4" s="297" t="s">
        <v>906</v>
      </c>
      <c r="C4" s="99"/>
      <c r="D4" s="300" t="s">
        <v>1057</v>
      </c>
      <c r="E4" s="297" t="s">
        <v>1020</v>
      </c>
      <c r="F4" s="297" t="s">
        <v>1021</v>
      </c>
      <c r="G4" s="297" t="s">
        <v>899</v>
      </c>
      <c r="H4" s="300" t="s">
        <v>1058</v>
      </c>
      <c r="I4" s="299" t="s">
        <v>899</v>
      </c>
      <c r="J4" s="299" t="s">
        <v>899</v>
      </c>
      <c r="K4" s="290"/>
      <c r="L4" s="290"/>
      <c r="M4" s="290"/>
      <c r="N4" s="290"/>
      <c r="O4" s="290"/>
      <c r="P4" s="290"/>
      <c r="Q4" s="290"/>
      <c r="R4" s="99" t="s">
        <v>907</v>
      </c>
      <c r="S4" s="99">
        <v>2</v>
      </c>
      <c r="T4" s="290"/>
      <c r="U4" s="290"/>
      <c r="V4" s="290"/>
      <c r="W4" s="290"/>
      <c r="X4" s="290"/>
      <c r="Y4" s="290"/>
      <c r="Z4" s="290"/>
      <c r="AA4" s="290"/>
      <c r="AB4" s="290"/>
      <c r="AC4" s="290"/>
      <c r="AD4" s="290"/>
      <c r="AE4" s="290"/>
      <c r="AF4" s="290"/>
      <c r="AG4" s="290"/>
      <c r="AH4" s="290"/>
      <c r="AI4" s="290"/>
      <c r="AJ4" s="290"/>
      <c r="AK4" s="290"/>
    </row>
    <row r="5" spans="1:37" ht="300">
      <c r="A5" s="255" t="s">
        <v>908</v>
      </c>
      <c r="B5" s="297" t="s">
        <v>909</v>
      </c>
      <c r="C5" s="99"/>
      <c r="D5" s="297" t="s">
        <v>1022</v>
      </c>
      <c r="E5" s="297" t="s">
        <v>1023</v>
      </c>
      <c r="F5" s="297" t="s">
        <v>1024</v>
      </c>
      <c r="G5" s="297" t="s">
        <v>1059</v>
      </c>
      <c r="H5" s="297" t="s">
        <v>1060</v>
      </c>
      <c r="I5" s="299" t="s">
        <v>1025</v>
      </c>
      <c r="J5" s="299" t="s">
        <v>891</v>
      </c>
      <c r="K5" s="290"/>
      <c r="L5" s="290"/>
      <c r="M5" s="290"/>
      <c r="N5" s="290"/>
      <c r="O5" s="290"/>
      <c r="P5" s="290"/>
      <c r="Q5" s="290"/>
      <c r="R5" s="99" t="s">
        <v>911</v>
      </c>
      <c r="S5" s="99">
        <v>2</v>
      </c>
      <c r="T5" s="290"/>
      <c r="U5" s="290"/>
      <c r="V5" s="290"/>
      <c r="W5" s="290"/>
      <c r="X5" s="290"/>
      <c r="Y5" s="290"/>
      <c r="Z5" s="290"/>
      <c r="AA5" s="290"/>
      <c r="AB5" s="290"/>
      <c r="AC5" s="290"/>
      <c r="AD5" s="290"/>
      <c r="AE5" s="290"/>
      <c r="AF5" s="290"/>
      <c r="AG5" s="290"/>
      <c r="AH5" s="290"/>
      <c r="AI5" s="290"/>
      <c r="AJ5" s="290"/>
      <c r="AK5" s="290"/>
    </row>
    <row r="6" spans="1:37" ht="225">
      <c r="A6" s="255" t="s">
        <v>912</v>
      </c>
      <c r="B6" s="297" t="s">
        <v>913</v>
      </c>
      <c r="C6" s="99"/>
      <c r="D6" s="297" t="s">
        <v>1026</v>
      </c>
      <c r="E6" s="297" t="s">
        <v>1061</v>
      </c>
      <c r="F6" s="297" t="s">
        <v>1062</v>
      </c>
      <c r="G6" s="297" t="s">
        <v>899</v>
      </c>
      <c r="H6" s="297" t="s">
        <v>1047</v>
      </c>
      <c r="I6" s="299" t="s">
        <v>899</v>
      </c>
      <c r="J6" s="293" t="s">
        <v>889</v>
      </c>
      <c r="K6" s="290"/>
      <c r="L6" s="290"/>
      <c r="M6" s="290"/>
      <c r="N6" s="290"/>
      <c r="O6" s="290"/>
      <c r="P6" s="290"/>
      <c r="Q6" s="290"/>
      <c r="R6" s="99" t="s">
        <v>914</v>
      </c>
      <c r="S6" s="99">
        <v>3</v>
      </c>
      <c r="T6" s="290"/>
      <c r="U6" s="290"/>
      <c r="V6" s="290"/>
      <c r="W6" s="290"/>
      <c r="X6" s="290"/>
      <c r="Y6" s="290"/>
      <c r="Z6" s="290"/>
      <c r="AA6" s="290"/>
      <c r="AB6" s="290"/>
      <c r="AC6" s="290"/>
      <c r="AD6" s="290"/>
      <c r="AE6" s="290"/>
      <c r="AF6" s="290"/>
      <c r="AG6" s="290"/>
      <c r="AH6" s="290"/>
      <c r="AI6" s="290"/>
      <c r="AJ6" s="290"/>
      <c r="AK6" s="290"/>
    </row>
    <row r="7" spans="1:37" ht="165">
      <c r="A7" s="255" t="s">
        <v>915</v>
      </c>
      <c r="B7" s="297" t="s">
        <v>916</v>
      </c>
      <c r="C7" s="99"/>
      <c r="D7" s="297" t="s">
        <v>1063</v>
      </c>
      <c r="E7" s="297" t="s">
        <v>1027</v>
      </c>
      <c r="F7" s="297" t="s">
        <v>917</v>
      </c>
      <c r="G7" s="297" t="s">
        <v>1028</v>
      </c>
      <c r="H7" s="297" t="s">
        <v>1064</v>
      </c>
      <c r="I7" s="299" t="s">
        <v>899</v>
      </c>
      <c r="J7" s="299" t="s">
        <v>899</v>
      </c>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row>
    <row r="8" spans="1:37" ht="225">
      <c r="A8" s="255" t="s">
        <v>918</v>
      </c>
      <c r="B8" s="297" t="s">
        <v>919</v>
      </c>
      <c r="C8" s="99"/>
      <c r="D8" s="297" t="s">
        <v>1065</v>
      </c>
      <c r="E8" s="297" t="s">
        <v>1029</v>
      </c>
      <c r="F8" s="297" t="s">
        <v>1030</v>
      </c>
      <c r="G8" s="297" t="s">
        <v>899</v>
      </c>
      <c r="H8" s="297" t="s">
        <v>1048</v>
      </c>
      <c r="I8" s="292" t="s">
        <v>1025</v>
      </c>
      <c r="J8" s="293" t="s">
        <v>889</v>
      </c>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row>
    <row r="9" spans="1:37" ht="60">
      <c r="A9" s="255" t="s">
        <v>920</v>
      </c>
      <c r="B9" s="301" t="s">
        <v>921</v>
      </c>
      <c r="C9" s="290"/>
      <c r="D9" s="297" t="s">
        <v>922</v>
      </c>
      <c r="E9" s="297" t="s">
        <v>923</v>
      </c>
      <c r="F9" s="256" t="s">
        <v>1021</v>
      </c>
      <c r="G9" s="297" t="s">
        <v>899</v>
      </c>
      <c r="H9" s="301" t="s">
        <v>1049</v>
      </c>
      <c r="I9" s="299" t="s">
        <v>899</v>
      </c>
      <c r="J9" s="293" t="s">
        <v>899</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row>
    <row r="10" spans="1:37" ht="300">
      <c r="A10" s="255" t="s">
        <v>924</v>
      </c>
      <c r="B10" s="297" t="s">
        <v>925</v>
      </c>
      <c r="C10" s="99"/>
      <c r="D10" s="297" t="s">
        <v>1031</v>
      </c>
      <c r="E10" s="297" t="s">
        <v>1032</v>
      </c>
      <c r="F10" s="297" t="s">
        <v>1033</v>
      </c>
      <c r="G10" s="297" t="s">
        <v>899</v>
      </c>
      <c r="H10" s="297" t="s">
        <v>1050</v>
      </c>
      <c r="I10" s="299" t="s">
        <v>1025</v>
      </c>
      <c r="J10" s="292" t="s">
        <v>1034</v>
      </c>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row>
    <row r="11" spans="1:37" ht="180">
      <c r="A11" s="255" t="s">
        <v>926</v>
      </c>
      <c r="B11" s="297" t="s">
        <v>927</v>
      </c>
      <c r="C11" s="99"/>
      <c r="D11" s="297" t="s">
        <v>1066</v>
      </c>
      <c r="E11" s="297" t="s">
        <v>1067</v>
      </c>
      <c r="F11" s="297" t="s">
        <v>1036</v>
      </c>
      <c r="G11" s="297" t="s">
        <v>899</v>
      </c>
      <c r="H11" s="297" t="s">
        <v>1051</v>
      </c>
      <c r="I11" s="292" t="s">
        <v>899</v>
      </c>
      <c r="J11" s="291" t="s">
        <v>1035</v>
      </c>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row>
    <row r="12" spans="1:37" ht="60">
      <c r="A12" s="306" t="s">
        <v>928</v>
      </c>
      <c r="B12" s="307" t="s">
        <v>929</v>
      </c>
      <c r="C12" s="302"/>
      <c r="D12" s="307" t="s">
        <v>1037</v>
      </c>
      <c r="E12" s="307" t="s">
        <v>1038</v>
      </c>
      <c r="F12" s="307" t="s">
        <v>910</v>
      </c>
      <c r="G12" s="307" t="s">
        <v>899</v>
      </c>
      <c r="H12" s="307" t="s">
        <v>1052</v>
      </c>
      <c r="I12" s="309" t="s">
        <v>899</v>
      </c>
      <c r="J12" s="206" t="s">
        <v>891</v>
      </c>
    </row>
    <row r="13" spans="1:37" ht="345">
      <c r="A13" s="209" t="s">
        <v>930</v>
      </c>
      <c r="B13" s="310" t="s">
        <v>931</v>
      </c>
      <c r="D13" s="307" t="s">
        <v>1039</v>
      </c>
      <c r="E13" s="307" t="s">
        <v>932</v>
      </c>
      <c r="F13" s="307" t="s">
        <v>1040</v>
      </c>
      <c r="G13" s="307" t="s">
        <v>899</v>
      </c>
      <c r="H13" s="310" t="s">
        <v>1053</v>
      </c>
      <c r="I13" s="210" t="s">
        <v>1042</v>
      </c>
      <c r="J13" s="309" t="s">
        <v>1041</v>
      </c>
    </row>
    <row r="14" spans="1:37" ht="74.25" customHeight="1">
      <c r="A14" s="311" t="s">
        <v>933</v>
      </c>
      <c r="B14" s="310" t="s">
        <v>934</v>
      </c>
      <c r="D14" s="307" t="s">
        <v>1043</v>
      </c>
      <c r="E14" s="307" t="s">
        <v>935</v>
      </c>
      <c r="F14" s="307" t="s">
        <v>899</v>
      </c>
      <c r="G14" s="307" t="s">
        <v>899</v>
      </c>
      <c r="H14" s="310" t="s">
        <v>1054</v>
      </c>
      <c r="I14" s="309" t="s">
        <v>1042</v>
      </c>
      <c r="J14" s="210" t="s">
        <v>1041</v>
      </c>
    </row>
    <row r="15" spans="1:37" ht="225">
      <c r="A15" s="209" t="s">
        <v>936</v>
      </c>
      <c r="B15" s="311" t="s">
        <v>937</v>
      </c>
      <c r="D15" s="309" t="s">
        <v>899</v>
      </c>
      <c r="E15" s="309" t="s">
        <v>899</v>
      </c>
      <c r="F15" s="308" t="s">
        <v>899</v>
      </c>
      <c r="G15" s="309" t="s">
        <v>899</v>
      </c>
      <c r="H15" s="210" t="s">
        <v>1042</v>
      </c>
      <c r="I15" s="210" t="s">
        <v>1042</v>
      </c>
      <c r="J15" s="308" t="s">
        <v>899</v>
      </c>
    </row>
    <row r="16" spans="1:37" ht="60">
      <c r="A16" s="209" t="s">
        <v>938</v>
      </c>
      <c r="B16" s="309" t="s">
        <v>939</v>
      </c>
      <c r="D16" s="310" t="s">
        <v>899</v>
      </c>
      <c r="E16" s="310" t="s">
        <v>899</v>
      </c>
      <c r="F16" s="310" t="s">
        <v>899</v>
      </c>
      <c r="G16" s="310" t="s">
        <v>899</v>
      </c>
      <c r="H16" s="310" t="s">
        <v>1044</v>
      </c>
      <c r="I16" s="311" t="s">
        <v>899</v>
      </c>
      <c r="J16" s="312" t="s">
        <v>1044</v>
      </c>
    </row>
    <row r="17" spans="1:7">
      <c r="A17" s="209" t="s">
        <v>940</v>
      </c>
      <c r="B17" s="310"/>
      <c r="D17" s="307"/>
      <c r="E17" s="307"/>
      <c r="F17" s="307"/>
      <c r="G17" s="307"/>
    </row>
    <row r="18" spans="1:7">
      <c r="A18" s="209" t="s">
        <v>941</v>
      </c>
      <c r="B18" s="310"/>
      <c r="D18" s="307"/>
      <c r="E18" s="307"/>
      <c r="F18" s="307"/>
      <c r="G18" s="307"/>
    </row>
    <row r="19" spans="1:7">
      <c r="A19" s="209" t="s">
        <v>942</v>
      </c>
    </row>
    <row r="20" spans="1:7">
      <c r="A20" s="209" t="s">
        <v>943</v>
      </c>
      <c r="B20" s="310"/>
      <c r="D20" s="307"/>
      <c r="E20" s="307"/>
      <c r="F20" s="307"/>
      <c r="G20" s="307"/>
    </row>
    <row r="21" spans="1:7">
      <c r="A21" s="209" t="s">
        <v>944</v>
      </c>
      <c r="B21" s="310"/>
      <c r="D21" s="307"/>
      <c r="E21" s="307"/>
      <c r="F21" s="307"/>
      <c r="G21" s="307"/>
    </row>
    <row r="22" spans="1:7">
      <c r="A22" s="209" t="s">
        <v>945</v>
      </c>
      <c r="B22" s="310"/>
      <c r="D22" s="307"/>
      <c r="E22" s="307"/>
      <c r="F22" s="307"/>
      <c r="G22" s="307"/>
    </row>
    <row r="23" spans="1:7">
      <c r="A23" s="209" t="s">
        <v>946</v>
      </c>
      <c r="B23" s="310"/>
      <c r="D23" s="307"/>
      <c r="E23" s="307"/>
      <c r="F23" s="307"/>
      <c r="G23" s="307"/>
    </row>
    <row r="24" spans="1:7">
      <c r="A24" s="209" t="s">
        <v>947</v>
      </c>
      <c r="B24" s="310"/>
      <c r="D24" s="307"/>
      <c r="E24" s="307"/>
      <c r="F24" s="307"/>
      <c r="G24" s="307"/>
    </row>
    <row r="25" spans="1:7">
      <c r="A25" s="209" t="s">
        <v>948</v>
      </c>
      <c r="B25" s="310"/>
      <c r="D25" s="307"/>
      <c r="E25" s="307"/>
      <c r="F25" s="307"/>
      <c r="G25" s="307"/>
    </row>
  </sheetData>
  <sheetProtection algorithmName="SHA-512" hashValue="6pv/BGjdyJM3aQ17LaR83ckNWz6xOf9BHbseq+qRYWwBH6rscy3uhKf4AGPHNHb1QLeIKw7amMYfa2RiJ475CQ==" saltValue="UwpKhY01MfaVFaFlr0AuOQ==" spinCount="100000" sheet="1" objects="1" scenarios="1"/>
  <sortState xmlns:xlrd2="http://schemas.microsoft.com/office/spreadsheetml/2017/richdata2" ref="A2:G13">
    <sortCondition ref="A1"/>
  </sortState>
  <pageMargins left="0.7" right="0.7" top="0.75" bottom="0.75" header="0.3" footer="0.3"/>
  <pageSetup orientation="portrait" horizontalDpi="300" verticalDpi="300" r:id="rId1"/>
  <customProperties>
    <customPr name="LastActive"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K43"/>
  <sheetViews>
    <sheetView topLeftCell="IRA2224" workbookViewId="0">
      <selection activeCell="IRB2236" sqref="IRB2236"/>
    </sheetView>
  </sheetViews>
  <sheetFormatPr defaultColWidth="51.85546875" defaultRowHeight="15"/>
  <cols>
    <col min="1" max="16384" width="51.85546875" style="99"/>
  </cols>
  <sheetData>
    <row r="1" spans="1:11" ht="15.75" customHeight="1">
      <c r="A1" s="99" t="s">
        <v>718</v>
      </c>
      <c r="B1" s="255" t="s">
        <v>122</v>
      </c>
      <c r="C1" s="255" t="s">
        <v>719</v>
      </c>
      <c r="D1" s="255" t="s">
        <v>720</v>
      </c>
      <c r="E1" s="255" t="s">
        <v>721</v>
      </c>
      <c r="F1" s="255" t="s">
        <v>722</v>
      </c>
      <c r="G1" s="255" t="s">
        <v>723</v>
      </c>
      <c r="H1" s="255" t="s">
        <v>724</v>
      </c>
      <c r="I1" s="255" t="s">
        <v>949</v>
      </c>
      <c r="J1" s="255" t="s">
        <v>950</v>
      </c>
      <c r="K1" s="255" t="s">
        <v>951</v>
      </c>
    </row>
    <row r="2" spans="1:11" ht="15.75" customHeight="1">
      <c r="A2" s="99" t="s">
        <v>952</v>
      </c>
      <c r="B2" s="256" t="s">
        <v>727</v>
      </c>
      <c r="C2" s="256" t="s">
        <v>726</v>
      </c>
      <c r="D2" s="256" t="s">
        <v>727</v>
      </c>
      <c r="E2" s="255" t="s">
        <v>721</v>
      </c>
      <c r="F2" s="256" t="s">
        <v>728</v>
      </c>
      <c r="G2" s="255" t="s">
        <v>723</v>
      </c>
      <c r="H2" s="99">
        <v>2</v>
      </c>
      <c r="I2" s="256" t="s">
        <v>726</v>
      </c>
      <c r="J2" s="99">
        <v>2</v>
      </c>
      <c r="K2" s="99">
        <v>1</v>
      </c>
    </row>
    <row r="3" spans="1:11" ht="15.75" customHeight="1">
      <c r="A3" s="99" t="s">
        <v>953</v>
      </c>
      <c r="B3" s="256" t="s">
        <v>726</v>
      </c>
      <c r="C3" s="256" t="s">
        <v>726</v>
      </c>
      <c r="D3" s="256" t="s">
        <v>727</v>
      </c>
      <c r="E3" s="256" t="s">
        <v>730</v>
      </c>
      <c r="F3" s="256" t="s">
        <v>730</v>
      </c>
      <c r="G3" s="256" t="s">
        <v>730</v>
      </c>
      <c r="H3" s="99">
        <v>2</v>
      </c>
      <c r="I3" s="256" t="s">
        <v>726</v>
      </c>
      <c r="J3" s="99">
        <v>4</v>
      </c>
      <c r="K3" s="99">
        <v>1</v>
      </c>
    </row>
    <row r="4" spans="1:11" ht="15.75" customHeight="1">
      <c r="A4" s="99" t="s">
        <v>55</v>
      </c>
      <c r="B4" s="256" t="s">
        <v>726</v>
      </c>
      <c r="C4" s="256" t="s">
        <v>727</v>
      </c>
      <c r="D4" s="256" t="s">
        <v>727</v>
      </c>
      <c r="E4" s="256" t="s">
        <v>730</v>
      </c>
      <c r="F4" s="256" t="s">
        <v>730</v>
      </c>
      <c r="G4" s="256" t="s">
        <v>730</v>
      </c>
      <c r="H4" s="99">
        <v>2</v>
      </c>
      <c r="I4" s="256" t="s">
        <v>726</v>
      </c>
      <c r="J4" s="99">
        <v>5</v>
      </c>
      <c r="K4" s="99">
        <v>1</v>
      </c>
    </row>
    <row r="5" spans="1:11" ht="15.75" customHeight="1">
      <c r="A5" s="99" t="s">
        <v>954</v>
      </c>
      <c r="B5" s="256" t="s">
        <v>726</v>
      </c>
      <c r="C5" s="256" t="s">
        <v>727</v>
      </c>
      <c r="D5" s="256" t="s">
        <v>727</v>
      </c>
      <c r="E5" s="256" t="s">
        <v>730</v>
      </c>
      <c r="F5" s="256" t="s">
        <v>730</v>
      </c>
      <c r="G5" s="256" t="s">
        <v>730</v>
      </c>
      <c r="H5" s="99">
        <v>2</v>
      </c>
      <c r="I5" s="256" t="s">
        <v>726</v>
      </c>
      <c r="J5" s="99">
        <v>5</v>
      </c>
      <c r="K5" s="99">
        <v>1</v>
      </c>
    </row>
    <row r="6" spans="1:11" ht="15.75" customHeight="1">
      <c r="A6" s="99" t="s">
        <v>955</v>
      </c>
      <c r="B6" s="256" t="s">
        <v>726</v>
      </c>
      <c r="C6" s="256" t="s">
        <v>726</v>
      </c>
      <c r="D6" s="256" t="s">
        <v>727</v>
      </c>
      <c r="E6" s="256" t="s">
        <v>730</v>
      </c>
      <c r="F6" s="256" t="s">
        <v>730</v>
      </c>
      <c r="G6" s="256" t="s">
        <v>730</v>
      </c>
      <c r="H6" s="99">
        <v>2</v>
      </c>
      <c r="I6" s="256" t="s">
        <v>726</v>
      </c>
      <c r="J6" s="99">
        <v>6</v>
      </c>
      <c r="K6" s="99">
        <v>1</v>
      </c>
    </row>
    <row r="7" spans="1:11" ht="15.75" customHeight="1">
      <c r="A7" s="99" t="s">
        <v>956</v>
      </c>
      <c r="B7" s="256" t="s">
        <v>726</v>
      </c>
      <c r="C7" s="256" t="s">
        <v>726</v>
      </c>
      <c r="D7" s="256" t="s">
        <v>727</v>
      </c>
      <c r="E7" s="256" t="s">
        <v>730</v>
      </c>
      <c r="F7" s="256" t="s">
        <v>730</v>
      </c>
      <c r="G7" s="256" t="s">
        <v>730</v>
      </c>
      <c r="H7" s="99">
        <v>2</v>
      </c>
      <c r="I7" s="256" t="s">
        <v>726</v>
      </c>
      <c r="J7" s="99">
        <v>7</v>
      </c>
      <c r="K7" s="99">
        <v>1</v>
      </c>
    </row>
    <row r="8" spans="1:11" ht="15.75" customHeight="1">
      <c r="A8" s="99" t="s">
        <v>957</v>
      </c>
      <c r="B8" s="256" t="s">
        <v>726</v>
      </c>
      <c r="C8" s="256" t="s">
        <v>726</v>
      </c>
      <c r="D8" s="256" t="s">
        <v>727</v>
      </c>
      <c r="E8" s="256" t="s">
        <v>730</v>
      </c>
      <c r="F8" s="256" t="s">
        <v>730</v>
      </c>
      <c r="G8" s="256" t="s">
        <v>730</v>
      </c>
      <c r="H8" s="99">
        <v>3</v>
      </c>
      <c r="I8" s="256" t="s">
        <v>726</v>
      </c>
      <c r="J8" s="99">
        <v>38</v>
      </c>
      <c r="K8" s="99">
        <v>1</v>
      </c>
    </row>
    <row r="9" spans="1:11" ht="15.75" customHeight="1">
      <c r="A9" s="99" t="s">
        <v>958</v>
      </c>
      <c r="B9" s="256" t="s">
        <v>726</v>
      </c>
      <c r="C9" s="256" t="s">
        <v>726</v>
      </c>
      <c r="D9" s="256" t="s">
        <v>727</v>
      </c>
      <c r="E9" s="256" t="s">
        <v>730</v>
      </c>
      <c r="F9" s="256" t="s">
        <v>730</v>
      </c>
      <c r="G9" s="256" t="s">
        <v>730</v>
      </c>
      <c r="H9" s="99">
        <v>4</v>
      </c>
      <c r="I9" s="256" t="s">
        <v>726</v>
      </c>
      <c r="J9" s="99">
        <v>39</v>
      </c>
      <c r="K9" s="99">
        <v>1</v>
      </c>
    </row>
    <row r="10" spans="1:11" ht="15.75" customHeight="1">
      <c r="A10" s="99" t="s">
        <v>959</v>
      </c>
      <c r="B10" s="256" t="s">
        <v>727</v>
      </c>
      <c r="C10" s="256" t="s">
        <v>726</v>
      </c>
      <c r="D10" s="256" t="s">
        <v>727</v>
      </c>
      <c r="E10" s="255" t="s">
        <v>721</v>
      </c>
      <c r="F10" s="256" t="s">
        <v>728</v>
      </c>
      <c r="G10" s="255" t="s">
        <v>723</v>
      </c>
      <c r="H10" s="99">
        <v>2</v>
      </c>
      <c r="I10" s="256" t="s">
        <v>727</v>
      </c>
      <c r="J10" s="99">
        <v>11</v>
      </c>
      <c r="K10" s="99">
        <v>2</v>
      </c>
    </row>
    <row r="11" spans="1:11" ht="15.75" customHeight="1">
      <c r="A11" s="99" t="s">
        <v>960</v>
      </c>
      <c r="B11" s="256" t="s">
        <v>727</v>
      </c>
      <c r="C11" s="256" t="s">
        <v>726</v>
      </c>
      <c r="D11" s="256" t="s">
        <v>727</v>
      </c>
      <c r="E11" s="255" t="s">
        <v>721</v>
      </c>
      <c r="F11" s="256" t="s">
        <v>728</v>
      </c>
      <c r="G11" s="255" t="s">
        <v>723</v>
      </c>
      <c r="H11" s="99">
        <v>2</v>
      </c>
      <c r="I11" s="256" t="s">
        <v>727</v>
      </c>
      <c r="J11" s="99">
        <v>14</v>
      </c>
      <c r="K11" s="99">
        <v>2</v>
      </c>
    </row>
    <row r="12" spans="1:11" ht="15.75" customHeight="1">
      <c r="A12" s="99" t="s">
        <v>961</v>
      </c>
      <c r="B12" s="256" t="s">
        <v>727</v>
      </c>
      <c r="C12" s="256" t="s">
        <v>726</v>
      </c>
      <c r="D12" s="256" t="s">
        <v>727</v>
      </c>
      <c r="E12" s="255" t="s">
        <v>721</v>
      </c>
      <c r="F12" s="256" t="s">
        <v>728</v>
      </c>
      <c r="G12" s="255" t="s">
        <v>723</v>
      </c>
      <c r="H12" s="99">
        <v>2</v>
      </c>
      <c r="I12" s="256" t="s">
        <v>727</v>
      </c>
      <c r="J12" s="99">
        <v>15</v>
      </c>
      <c r="K12" s="99">
        <v>2</v>
      </c>
    </row>
    <row r="13" spans="1:11" ht="15.75" customHeight="1">
      <c r="A13" s="99" t="s">
        <v>962</v>
      </c>
      <c r="B13" s="256" t="s">
        <v>727</v>
      </c>
      <c r="C13" s="256" t="s">
        <v>727</v>
      </c>
      <c r="D13" s="256" t="s">
        <v>727</v>
      </c>
      <c r="E13" s="255" t="s">
        <v>721</v>
      </c>
      <c r="F13" s="256" t="s">
        <v>728</v>
      </c>
      <c r="G13" s="255" t="s">
        <v>723</v>
      </c>
      <c r="H13" s="99">
        <v>2</v>
      </c>
      <c r="I13" s="256" t="s">
        <v>727</v>
      </c>
      <c r="J13" s="99">
        <v>17</v>
      </c>
      <c r="K13" s="99">
        <v>2</v>
      </c>
    </row>
    <row r="14" spans="1:11" ht="15.75" customHeight="1">
      <c r="A14" s="99" t="s">
        <v>963</v>
      </c>
      <c r="B14" s="256" t="s">
        <v>727</v>
      </c>
      <c r="C14" s="256" t="s">
        <v>727</v>
      </c>
      <c r="D14" s="256" t="s">
        <v>727</v>
      </c>
      <c r="E14" s="255" t="s">
        <v>721</v>
      </c>
      <c r="F14" s="256" t="s">
        <v>728</v>
      </c>
      <c r="G14" s="255" t="s">
        <v>723</v>
      </c>
      <c r="H14" s="99">
        <v>2</v>
      </c>
      <c r="I14" s="256" t="s">
        <v>727</v>
      </c>
      <c r="J14" s="99">
        <v>17</v>
      </c>
      <c r="K14" s="99">
        <v>2</v>
      </c>
    </row>
    <row r="15" spans="1:11" ht="15.75" customHeight="1">
      <c r="A15" s="99" t="s">
        <v>964</v>
      </c>
      <c r="B15" s="256" t="s">
        <v>726</v>
      </c>
      <c r="C15" s="256" t="s">
        <v>726</v>
      </c>
      <c r="D15" s="256" t="s">
        <v>727</v>
      </c>
      <c r="E15" s="256" t="s">
        <v>730</v>
      </c>
      <c r="F15" s="256" t="s">
        <v>730</v>
      </c>
      <c r="G15" s="256" t="s">
        <v>730</v>
      </c>
      <c r="H15" s="99">
        <v>2</v>
      </c>
      <c r="I15" s="256" t="s">
        <v>727</v>
      </c>
      <c r="J15" s="99">
        <v>20</v>
      </c>
      <c r="K15" s="99">
        <v>2</v>
      </c>
    </row>
    <row r="16" spans="1:11" ht="15.75" customHeight="1">
      <c r="A16" s="99" t="s">
        <v>965</v>
      </c>
      <c r="B16" s="256" t="s">
        <v>726</v>
      </c>
      <c r="C16" s="256" t="s">
        <v>726</v>
      </c>
      <c r="D16" s="256" t="s">
        <v>727</v>
      </c>
      <c r="E16" s="256" t="s">
        <v>730</v>
      </c>
      <c r="F16" s="256" t="s">
        <v>730</v>
      </c>
      <c r="G16" s="256" t="s">
        <v>730</v>
      </c>
      <c r="H16" s="99">
        <v>2</v>
      </c>
      <c r="I16" s="256" t="s">
        <v>727</v>
      </c>
      <c r="J16" s="99">
        <v>21</v>
      </c>
      <c r="K16" s="99">
        <v>2</v>
      </c>
    </row>
    <row r="17" spans="1:11" ht="15.75" customHeight="1">
      <c r="A17" s="99" t="s">
        <v>966</v>
      </c>
      <c r="B17" s="256" t="s">
        <v>727</v>
      </c>
      <c r="C17" s="256" t="s">
        <v>726</v>
      </c>
      <c r="D17" s="256" t="s">
        <v>727</v>
      </c>
      <c r="E17" s="255" t="s">
        <v>721</v>
      </c>
      <c r="F17" s="256" t="s">
        <v>728</v>
      </c>
      <c r="G17" s="255" t="s">
        <v>723</v>
      </c>
      <c r="H17" s="99">
        <v>3</v>
      </c>
      <c r="I17" s="256" t="s">
        <v>727</v>
      </c>
      <c r="J17" s="99">
        <v>28</v>
      </c>
      <c r="K17" s="99">
        <v>3</v>
      </c>
    </row>
    <row r="18" spans="1:11" ht="15.75" customHeight="1">
      <c r="A18" s="99" t="s">
        <v>967</v>
      </c>
      <c r="B18" s="256" t="s">
        <v>727</v>
      </c>
      <c r="C18" s="256" t="s">
        <v>726</v>
      </c>
      <c r="D18" s="256" t="s">
        <v>727</v>
      </c>
      <c r="E18" s="255" t="s">
        <v>721</v>
      </c>
      <c r="F18" s="256" t="s">
        <v>728</v>
      </c>
      <c r="G18" s="255" t="s">
        <v>723</v>
      </c>
      <c r="H18" s="99">
        <v>3</v>
      </c>
      <c r="I18" s="256" t="s">
        <v>727</v>
      </c>
      <c r="J18" s="99">
        <v>29</v>
      </c>
      <c r="K18" s="99">
        <v>3</v>
      </c>
    </row>
    <row r="19" spans="1:11" ht="15.75" customHeight="1">
      <c r="A19" s="99" t="s">
        <v>968</v>
      </c>
      <c r="B19" s="256" t="s">
        <v>727</v>
      </c>
      <c r="C19" s="256" t="s">
        <v>727</v>
      </c>
      <c r="D19" s="256" t="s">
        <v>727</v>
      </c>
      <c r="E19" s="255" t="s">
        <v>721</v>
      </c>
      <c r="F19" s="256" t="s">
        <v>728</v>
      </c>
      <c r="G19" s="255" t="s">
        <v>723</v>
      </c>
      <c r="H19" s="99">
        <v>4</v>
      </c>
      <c r="I19" s="256" t="s">
        <v>727</v>
      </c>
      <c r="J19" s="99">
        <v>36</v>
      </c>
      <c r="K19" s="99">
        <v>4</v>
      </c>
    </row>
    <row r="20" spans="1:11" ht="15.75" customHeight="1">
      <c r="A20" s="99" t="s">
        <v>969</v>
      </c>
      <c r="B20" s="256" t="s">
        <v>727</v>
      </c>
      <c r="C20" s="256" t="s">
        <v>727</v>
      </c>
      <c r="D20" s="256" t="s">
        <v>727</v>
      </c>
      <c r="E20" s="255" t="s">
        <v>721</v>
      </c>
      <c r="F20" s="256" t="s">
        <v>728</v>
      </c>
      <c r="G20" s="255" t="s">
        <v>723</v>
      </c>
      <c r="H20" s="99">
        <v>4</v>
      </c>
      <c r="I20" s="256" t="s">
        <v>727</v>
      </c>
      <c r="J20" s="99">
        <v>37</v>
      </c>
      <c r="K20" s="99">
        <v>4</v>
      </c>
    </row>
    <row r="21" spans="1:11" ht="15.75" customHeight="1">
      <c r="A21" s="99" t="s">
        <v>970</v>
      </c>
      <c r="B21" s="256" t="s">
        <v>727</v>
      </c>
      <c r="C21" s="256" t="s">
        <v>727</v>
      </c>
      <c r="D21" s="256" t="s">
        <v>727</v>
      </c>
      <c r="E21" s="255" t="s">
        <v>721</v>
      </c>
      <c r="F21" s="256" t="s">
        <v>728</v>
      </c>
      <c r="G21" s="255" t="s">
        <v>723</v>
      </c>
      <c r="H21" s="99">
        <v>4</v>
      </c>
      <c r="I21" s="256" t="s">
        <v>727</v>
      </c>
      <c r="J21" s="99">
        <v>37</v>
      </c>
      <c r="K21" s="99">
        <v>4</v>
      </c>
    </row>
    <row r="22" spans="1:11" ht="15.75" customHeight="1">
      <c r="A22" s="99" t="s">
        <v>971</v>
      </c>
      <c r="B22" s="256" t="s">
        <v>727</v>
      </c>
      <c r="C22" s="256" t="s">
        <v>726</v>
      </c>
      <c r="D22" s="256" t="s">
        <v>727</v>
      </c>
      <c r="J22" s="99">
        <v>1</v>
      </c>
      <c r="K22" s="99">
        <v>2</v>
      </c>
    </row>
    <row r="23" spans="1:11" ht="15.75" customHeight="1">
      <c r="A23" s="99" t="s">
        <v>972</v>
      </c>
      <c r="B23" s="256" t="s">
        <v>727</v>
      </c>
      <c r="C23" s="256" t="s">
        <v>726</v>
      </c>
      <c r="D23" s="256" t="s">
        <v>727</v>
      </c>
      <c r="J23" s="99">
        <v>8</v>
      </c>
      <c r="K23" s="99">
        <v>2</v>
      </c>
    </row>
    <row r="24" spans="1:11" ht="15.75" customHeight="1">
      <c r="A24" s="99" t="s">
        <v>973</v>
      </c>
      <c r="B24" s="256" t="s">
        <v>727</v>
      </c>
      <c r="C24" s="256" t="s">
        <v>726</v>
      </c>
      <c r="D24" s="256" t="s">
        <v>727</v>
      </c>
      <c r="J24" s="99">
        <v>40</v>
      </c>
      <c r="K24" s="99">
        <v>2</v>
      </c>
    </row>
    <row r="25" spans="1:11" ht="15.75" customHeight="1">
      <c r="A25" s="99" t="s">
        <v>974</v>
      </c>
      <c r="B25" s="256" t="s">
        <v>727</v>
      </c>
      <c r="C25" s="256" t="s">
        <v>726</v>
      </c>
      <c r="D25" s="256" t="s">
        <v>727</v>
      </c>
      <c r="J25" s="99">
        <v>41</v>
      </c>
      <c r="K25" s="99">
        <v>2</v>
      </c>
    </row>
    <row r="26" spans="1:11" ht="15.75" customHeight="1">
      <c r="A26" s="99" t="s">
        <v>975</v>
      </c>
      <c r="B26" s="256" t="s">
        <v>727</v>
      </c>
      <c r="C26" s="256" t="s">
        <v>726</v>
      </c>
      <c r="D26" s="256" t="s">
        <v>727</v>
      </c>
      <c r="J26" s="99">
        <v>42</v>
      </c>
      <c r="K26" s="99">
        <v>2</v>
      </c>
    </row>
    <row r="27" spans="1:11" ht="15.75" customHeight="1">
      <c r="A27" s="99" t="s">
        <v>976</v>
      </c>
      <c r="B27" s="256" t="s">
        <v>727</v>
      </c>
      <c r="C27" s="256" t="s">
        <v>726</v>
      </c>
      <c r="D27" s="256" t="s">
        <v>727</v>
      </c>
      <c r="J27" s="99">
        <v>43</v>
      </c>
      <c r="K27" s="99">
        <v>2</v>
      </c>
    </row>
    <row r="28" spans="1:11" ht="15.75" customHeight="1">
      <c r="A28" s="99" t="s">
        <v>977</v>
      </c>
      <c r="B28" s="256" t="s">
        <v>727</v>
      </c>
      <c r="C28" s="256" t="s">
        <v>726</v>
      </c>
      <c r="D28" s="256" t="s">
        <v>727</v>
      </c>
      <c r="J28" s="99">
        <v>44</v>
      </c>
      <c r="K28" s="99">
        <v>2</v>
      </c>
    </row>
    <row r="29" spans="1:11" ht="15.75" customHeight="1">
      <c r="A29" s="99" t="s">
        <v>978</v>
      </c>
      <c r="B29" s="256" t="s">
        <v>727</v>
      </c>
      <c r="C29" s="256" t="s">
        <v>726</v>
      </c>
      <c r="D29" s="256" t="s">
        <v>727</v>
      </c>
      <c r="J29" s="99">
        <v>45</v>
      </c>
      <c r="K29" s="99">
        <v>2</v>
      </c>
    </row>
    <row r="30" spans="1:11" ht="15.75" customHeight="1">
      <c r="A30" s="99" t="s">
        <v>979</v>
      </c>
      <c r="B30" s="256" t="s">
        <v>727</v>
      </c>
      <c r="C30" s="256" t="s">
        <v>726</v>
      </c>
      <c r="D30" s="256" t="s">
        <v>727</v>
      </c>
      <c r="J30" s="99">
        <v>46</v>
      </c>
      <c r="K30" s="99">
        <v>2</v>
      </c>
    </row>
    <row r="31" spans="1:11" ht="15.75" customHeight="1">
      <c r="A31" s="99" t="s">
        <v>980</v>
      </c>
      <c r="B31" s="256" t="s">
        <v>727</v>
      </c>
      <c r="C31" s="256" t="s">
        <v>726</v>
      </c>
      <c r="D31" s="256" t="s">
        <v>727</v>
      </c>
      <c r="J31" s="99">
        <v>47</v>
      </c>
      <c r="K31" s="99">
        <v>4</v>
      </c>
    </row>
    <row r="32" spans="1:11" ht="15.75" customHeight="1">
      <c r="A32" s="99" t="s">
        <v>981</v>
      </c>
      <c r="B32" s="256" t="s">
        <v>727</v>
      </c>
      <c r="C32" s="256" t="s">
        <v>726</v>
      </c>
      <c r="D32" s="256" t="s">
        <v>727</v>
      </c>
      <c r="J32" s="99">
        <v>48</v>
      </c>
      <c r="K32" s="99">
        <v>4</v>
      </c>
    </row>
    <row r="33" spans="1:11" ht="15.75" customHeight="1">
      <c r="A33" s="99" t="s">
        <v>982</v>
      </c>
      <c r="B33" s="256" t="s">
        <v>727</v>
      </c>
      <c r="C33" s="256" t="s">
        <v>726</v>
      </c>
      <c r="D33" s="256" t="s">
        <v>727</v>
      </c>
      <c r="J33" s="99">
        <v>49</v>
      </c>
      <c r="K33" s="99">
        <v>4</v>
      </c>
    </row>
    <row r="34" spans="1:11" ht="15.75" customHeight="1">
      <c r="A34" s="99" t="s">
        <v>983</v>
      </c>
      <c r="B34" s="256" t="s">
        <v>727</v>
      </c>
      <c r="C34" s="256" t="s">
        <v>726</v>
      </c>
      <c r="D34" s="256" t="s">
        <v>727</v>
      </c>
      <c r="J34" s="99">
        <v>50</v>
      </c>
      <c r="K34" s="99">
        <v>4</v>
      </c>
    </row>
    <row r="35" spans="1:11" ht="15.75" customHeight="1">
      <c r="A35" s="99" t="s">
        <v>984</v>
      </c>
      <c r="B35" s="256" t="s">
        <v>727</v>
      </c>
      <c r="C35" s="256" t="s">
        <v>727</v>
      </c>
      <c r="D35" s="256" t="s">
        <v>727</v>
      </c>
      <c r="J35" s="99">
        <v>51</v>
      </c>
      <c r="K35" s="99">
        <v>5</v>
      </c>
    </row>
    <row r="36" spans="1:11" ht="15.75" customHeight="1">
      <c r="A36" s="99" t="s">
        <v>985</v>
      </c>
      <c r="B36" s="256" t="s">
        <v>727</v>
      </c>
      <c r="C36" s="256" t="s">
        <v>727</v>
      </c>
      <c r="D36" s="256" t="s">
        <v>727</v>
      </c>
      <c r="J36" s="99">
        <v>52</v>
      </c>
      <c r="K36" s="99">
        <v>5</v>
      </c>
    </row>
    <row r="37" spans="1:11" ht="15.75" customHeight="1">
      <c r="A37" s="99" t="s">
        <v>986</v>
      </c>
      <c r="B37" s="256" t="s">
        <v>727</v>
      </c>
      <c r="C37" s="256" t="s">
        <v>727</v>
      </c>
      <c r="D37" s="256" t="s">
        <v>727</v>
      </c>
      <c r="J37" s="99">
        <v>52</v>
      </c>
      <c r="K37" s="99">
        <v>5</v>
      </c>
    </row>
    <row r="38" spans="1:11" ht="15.75" customHeight="1">
      <c r="A38" s="99" t="s">
        <v>987</v>
      </c>
      <c r="B38" s="256" t="s">
        <v>727</v>
      </c>
      <c r="C38" s="256" t="s">
        <v>727</v>
      </c>
      <c r="D38" s="256" t="s">
        <v>727</v>
      </c>
      <c r="J38" s="99">
        <v>54</v>
      </c>
      <c r="K38" s="99">
        <v>5</v>
      </c>
    </row>
    <row r="39" spans="1:11" ht="15.75" customHeight="1">
      <c r="A39" s="99" t="s">
        <v>988</v>
      </c>
      <c r="B39" s="256" t="s">
        <v>727</v>
      </c>
      <c r="C39" s="256" t="s">
        <v>727</v>
      </c>
      <c r="D39" s="256" t="s">
        <v>727</v>
      </c>
      <c r="J39" s="99">
        <v>55</v>
      </c>
      <c r="K39" s="99">
        <v>5</v>
      </c>
    </row>
    <row r="40" spans="1:11" ht="15.75" customHeight="1">
      <c r="A40" s="99" t="s">
        <v>989</v>
      </c>
      <c r="B40" s="256" t="s">
        <v>727</v>
      </c>
      <c r="C40" s="256" t="s">
        <v>727</v>
      </c>
      <c r="D40" s="256" t="s">
        <v>727</v>
      </c>
      <c r="J40" s="99">
        <v>55</v>
      </c>
      <c r="K40" s="99">
        <v>5</v>
      </c>
    </row>
    <row r="41" spans="1:11" ht="15.75" customHeight="1">
      <c r="A41" s="99" t="s">
        <v>990</v>
      </c>
      <c r="B41" s="256" t="s">
        <v>727</v>
      </c>
      <c r="C41" s="256" t="s">
        <v>727</v>
      </c>
      <c r="D41" s="256" t="s">
        <v>727</v>
      </c>
      <c r="J41" s="99">
        <v>56</v>
      </c>
      <c r="K41" s="99">
        <v>6</v>
      </c>
    </row>
    <row r="42" spans="1:11" ht="15.75" customHeight="1">
      <c r="A42" s="99" t="s">
        <v>991</v>
      </c>
      <c r="B42" s="256" t="s">
        <v>727</v>
      </c>
      <c r="C42" s="256" t="s">
        <v>727</v>
      </c>
      <c r="D42" s="256" t="s">
        <v>727</v>
      </c>
      <c r="J42" s="99">
        <v>57</v>
      </c>
      <c r="K42" s="99">
        <v>6</v>
      </c>
    </row>
    <row r="43" spans="1:11" ht="15.75" customHeight="1">
      <c r="A43" s="99" t="s">
        <v>992</v>
      </c>
      <c r="B43" s="256" t="s">
        <v>727</v>
      </c>
      <c r="C43" s="256" t="s">
        <v>727</v>
      </c>
      <c r="D43" s="256" t="s">
        <v>727</v>
      </c>
      <c r="J43" s="99">
        <v>57</v>
      </c>
      <c r="K43" s="99">
        <v>6</v>
      </c>
    </row>
  </sheetData>
  <pageMargins left="0.25" right="0.25"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7"/>
  <dimension ref="A1:AO228"/>
  <sheetViews>
    <sheetView topLeftCell="AI1" zoomScaleNormal="100" workbookViewId="0">
      <pane ySplit="1" topLeftCell="A104" activePane="bottomLeft" state="frozen"/>
      <selection pane="bottomLeft" activeCell="AO125" sqref="AO125"/>
    </sheetView>
  </sheetViews>
  <sheetFormatPr defaultColWidth="20.140625" defaultRowHeight="15"/>
  <cols>
    <col min="1" max="1" width="20.140625" style="99"/>
    <col min="2" max="13" width="20.140625" style="99" customWidth="1"/>
    <col min="14" max="14" width="13.7109375" style="99" customWidth="1"/>
    <col min="15" max="15" width="10.42578125" style="99" customWidth="1"/>
    <col min="16" max="16" width="11.42578125" style="99" customWidth="1"/>
    <col min="17" max="17" width="13.85546875" style="99" customWidth="1"/>
    <col min="18" max="24" width="20.140625" style="99" customWidth="1"/>
    <col min="25" max="25" width="20.140625" style="202" customWidth="1"/>
    <col min="26" max="32" width="20.140625" style="99" customWidth="1"/>
    <col min="33" max="35" width="20.140625" style="259"/>
    <col min="36" max="16384" width="20.140625" style="99"/>
  </cols>
  <sheetData>
    <row r="1" spans="1:41" ht="15.75" thickBot="1">
      <c r="A1" s="99" t="s">
        <v>464</v>
      </c>
      <c r="B1" s="99" t="s">
        <v>465</v>
      </c>
      <c r="C1" s="99" t="s">
        <v>466</v>
      </c>
      <c r="D1" s="99" t="s">
        <v>993</v>
      </c>
      <c r="E1" s="99" t="s">
        <v>994</v>
      </c>
      <c r="F1" s="99" t="s">
        <v>467</v>
      </c>
      <c r="G1" s="99" t="s">
        <v>468</v>
      </c>
      <c r="H1" s="99" t="s">
        <v>469</v>
      </c>
      <c r="I1" s="99" t="s">
        <v>995</v>
      </c>
      <c r="J1" s="99" t="s">
        <v>470</v>
      </c>
      <c r="K1" s="99" t="s">
        <v>471</v>
      </c>
      <c r="L1" s="99" t="s">
        <v>472</v>
      </c>
      <c r="M1" s="99" t="s">
        <v>996</v>
      </c>
      <c r="N1" s="99" t="s">
        <v>997</v>
      </c>
      <c r="O1" s="99" t="s">
        <v>473</v>
      </c>
      <c r="P1" s="99" t="s">
        <v>998</v>
      </c>
      <c r="Q1" s="99" t="s">
        <v>475</v>
      </c>
      <c r="R1" s="99" t="s">
        <v>487</v>
      </c>
      <c r="Y1" s="198" t="s">
        <v>13</v>
      </c>
      <c r="Z1" s="199" t="s">
        <v>476</v>
      </c>
      <c r="AA1" s="199" t="s">
        <v>477</v>
      </c>
      <c r="AB1" s="199" t="s">
        <v>478</v>
      </c>
      <c r="AC1" s="199" t="s">
        <v>479</v>
      </c>
      <c r="AD1" s="199" t="s">
        <v>480</v>
      </c>
      <c r="AE1" s="199" t="s">
        <v>481</v>
      </c>
      <c r="AF1" s="199" t="s">
        <v>482</v>
      </c>
      <c r="AG1" s="332" t="s">
        <v>999</v>
      </c>
      <c r="AH1" s="332" t="s">
        <v>1000</v>
      </c>
      <c r="AI1" s="332" t="s">
        <v>1001</v>
      </c>
      <c r="AJ1" s="333" t="s">
        <v>1002</v>
      </c>
      <c r="AK1" s="333" t="s">
        <v>1003</v>
      </c>
      <c r="AL1" s="333" t="s">
        <v>1004</v>
      </c>
      <c r="AM1" s="333" t="s">
        <v>1005</v>
      </c>
      <c r="AN1" s="333" t="s">
        <v>1006</v>
      </c>
      <c r="AO1" s="333" t="s">
        <v>1007</v>
      </c>
    </row>
    <row r="2" spans="1:41" ht="15.75" thickBot="1">
      <c r="A2" s="200" t="str">
        <f>IF('2-Calc. Sheet'!I15&gt;=1,IF('2-Calc. Sheet'!I15&lt;=5,'2-Calc. Sheet'!I15," ")," ")</f>
        <v xml:space="preserve"> </v>
      </c>
      <c r="B2" s="334">
        <v>1.5</v>
      </c>
      <c r="C2" s="201">
        <v>2.5</v>
      </c>
      <c r="D2" s="201">
        <v>3</v>
      </c>
      <c r="E2" s="201" t="str">
        <f>IF('2-Calc. Sheet'!$K$15&gt;=1,IF('2-Calc. Sheet'!$K$15&lt;=8,'2-Calc. Sheet'!$K$15," ")," ")</f>
        <v xml:space="preserve"> </v>
      </c>
      <c r="F2" s="201" t="e">
        <f t="shared" ref="F2:F30" si="0">-($M$2*0.1)</f>
        <v>#N/A</v>
      </c>
      <c r="G2" s="201">
        <v>0</v>
      </c>
      <c r="H2" s="201" t="e">
        <f t="shared" ref="H2:H30" si="1">$M$2*0.1</f>
        <v>#N/A</v>
      </c>
      <c r="I2" s="201">
        <v>0</v>
      </c>
      <c r="J2" s="201">
        <v>0</v>
      </c>
      <c r="K2" s="201">
        <v>0</v>
      </c>
      <c r="L2" s="201">
        <v>0.5</v>
      </c>
      <c r="M2" s="201" t="e">
        <f>VLOOKUP('2-Calc. Sheet'!I15,Sheet2!A1:L33,2,FALSE)-(IF('2-Calc. Sheet'!O25="0%","0",'2-Calc. Sheet'!O25*(VLOOKUP('2-Calc. Sheet'!I15,Sheet2!A1:L33,2,FALSE))/100))</f>
        <v>#N/A</v>
      </c>
      <c r="N2" s="290" t="s">
        <v>1077</v>
      </c>
      <c r="O2" s="201" t="str">
        <f>IF('2-Calc. Sheet'!I15&gt;=1,IF('2-Calc. Sheet'!I15&lt;=5,'2-Calc. Sheet'!I15," ")," ")</f>
        <v xml:space="preserve"> </v>
      </c>
      <c r="P2" s="254">
        <v>0.25</v>
      </c>
      <c r="Q2" s="201">
        <v>0</v>
      </c>
      <c r="R2" s="201">
        <v>1</v>
      </c>
      <c r="X2" s="200"/>
      <c r="Y2" s="202" t="s">
        <v>483</v>
      </c>
      <c r="Z2" s="99">
        <v>250</v>
      </c>
      <c r="AA2" s="99">
        <v>200</v>
      </c>
      <c r="AB2" s="99">
        <v>250</v>
      </c>
      <c r="AC2" s="99">
        <v>250</v>
      </c>
      <c r="AD2" s="99">
        <v>0.2</v>
      </c>
      <c r="AE2" s="99" t="s">
        <v>484</v>
      </c>
      <c r="AF2" s="99" t="s">
        <v>485</v>
      </c>
      <c r="AG2" s="259">
        <v>2.5</v>
      </c>
      <c r="AH2" s="259">
        <v>4</v>
      </c>
      <c r="AI2" s="259">
        <v>5</v>
      </c>
      <c r="AJ2" s="335">
        <v>1</v>
      </c>
      <c r="AK2" s="335">
        <v>1.5</v>
      </c>
      <c r="AL2" s="335">
        <v>1</v>
      </c>
      <c r="AM2" s="335">
        <v>2.5</v>
      </c>
      <c r="AN2" s="335">
        <v>1.5</v>
      </c>
      <c r="AO2" s="335">
        <v>3</v>
      </c>
    </row>
    <row r="3" spans="1:41" ht="15.75" thickBot="1">
      <c r="A3" s="200" t="str">
        <f>IF('2-Calc. Sheet'!I15&gt;=6,IF('2-Calc. Sheet'!I15&lt;=10,'2-Calc. Sheet'!I15," ")," ")</f>
        <v xml:space="preserve"> </v>
      </c>
      <c r="B3" s="201">
        <v>2</v>
      </c>
      <c r="C3" s="201">
        <v>3</v>
      </c>
      <c r="D3" s="201">
        <v>4</v>
      </c>
      <c r="E3" s="201" t="str">
        <f>IF('2-Calc. Sheet'!$K$15&gt;=9,IF('2-Calc. Sheet'!$K$15&lt;=15,'2-Calc. Sheet'!$K$15," ")," ")</f>
        <v xml:space="preserve"> </v>
      </c>
      <c r="F3" s="201" t="e">
        <f t="shared" si="0"/>
        <v>#N/A</v>
      </c>
      <c r="G3" s="201">
        <v>0</v>
      </c>
      <c r="H3" s="201" t="e">
        <f t="shared" si="1"/>
        <v>#N/A</v>
      </c>
      <c r="I3" s="201">
        <v>0</v>
      </c>
      <c r="J3" s="201">
        <v>0</v>
      </c>
      <c r="K3" s="201">
        <v>0</v>
      </c>
      <c r="L3" s="201">
        <v>0.5</v>
      </c>
      <c r="M3" s="201" t="e">
        <f>VLOOKUP('2-Calc. Sheet'!I16,Sheet2!A2:L32,2,FALSE)-(IF('2-Calc. Sheet'!O26="0%","0",'2-Calc. Sheet'!O26*(VLOOKUP('2-Calc. Sheet'!I16,Sheet2!A2:L32,2,FALSE))/100))</f>
        <v>#N/A</v>
      </c>
      <c r="N3" s="290" t="s">
        <v>1078</v>
      </c>
      <c r="O3" s="201" t="str">
        <f>IF('2-Calc. Sheet'!I15&gt;=6,IF('2-Calc. Sheet'!I15&lt;=49,'2-Calc. Sheet'!I15," ")," ")</f>
        <v xml:space="preserve"> </v>
      </c>
      <c r="P3" s="254">
        <v>0.25</v>
      </c>
      <c r="Q3" s="201">
        <v>0.5</v>
      </c>
      <c r="R3" s="201">
        <v>1</v>
      </c>
      <c r="U3" s="99" t="s">
        <v>486</v>
      </c>
      <c r="V3" s="99" t="s">
        <v>487</v>
      </c>
      <c r="X3" s="200" t="str">
        <f>IF('2-Calc. Sheet'!AE15&gt;=6,IF('2-Calc. Sheet'!AE15&lt;=10,'2-Calc. Sheet'!AE15," ")," ")</f>
        <v xml:space="preserve"> </v>
      </c>
      <c r="Y3" s="202" t="s">
        <v>488</v>
      </c>
      <c r="Z3" s="99">
        <v>250</v>
      </c>
      <c r="AA3" s="99">
        <v>200</v>
      </c>
      <c r="AB3" s="99">
        <v>250</v>
      </c>
      <c r="AC3" s="99">
        <v>250</v>
      </c>
      <c r="AD3" s="99">
        <v>0.2</v>
      </c>
      <c r="AE3" s="99" t="s">
        <v>484</v>
      </c>
      <c r="AF3" s="99" t="s">
        <v>485</v>
      </c>
      <c r="AG3" s="259">
        <v>4</v>
      </c>
      <c r="AH3" s="259">
        <v>6</v>
      </c>
      <c r="AI3" s="259">
        <v>7</v>
      </c>
      <c r="AJ3" s="335">
        <v>1</v>
      </c>
      <c r="AK3" s="335">
        <v>2.5</v>
      </c>
      <c r="AL3" s="335">
        <v>2</v>
      </c>
      <c r="AM3" s="335">
        <v>4</v>
      </c>
      <c r="AN3" s="335">
        <v>2.5</v>
      </c>
      <c r="AO3" s="335">
        <v>5</v>
      </c>
    </row>
    <row r="4" spans="1:41" ht="15.75" thickBot="1">
      <c r="A4" s="200" t="str">
        <f>IF('2-Calc. Sheet'!I15&gt;=11,IF('2-Calc. Sheet'!I15&lt;=15,'2-Calc. Sheet'!I15," ")," ")</f>
        <v xml:space="preserve"> </v>
      </c>
      <c r="B4" s="201">
        <v>2.5</v>
      </c>
      <c r="C4" s="201">
        <v>3</v>
      </c>
      <c r="D4" s="201">
        <v>4.5</v>
      </c>
      <c r="E4" s="201" t="str">
        <f>IF('2-Calc. Sheet'!$K$15&gt;=16,IF('2-Calc. Sheet'!$K$15&lt;=25,'2-Calc. Sheet'!$K$15," ")," ")</f>
        <v xml:space="preserve"> </v>
      </c>
      <c r="F4" s="201" t="e">
        <f t="shared" si="0"/>
        <v>#N/A</v>
      </c>
      <c r="G4" s="201">
        <v>0</v>
      </c>
      <c r="H4" s="201" t="e">
        <f t="shared" si="1"/>
        <v>#N/A</v>
      </c>
      <c r="I4" s="201">
        <v>0</v>
      </c>
      <c r="J4" s="201">
        <v>0</v>
      </c>
      <c r="K4" s="201">
        <v>0.5</v>
      </c>
      <c r="L4" s="201">
        <v>1.5</v>
      </c>
      <c r="M4" s="201" t="e">
        <f>VLOOKUP('2-Calc. Sheet'!I17,Sheet2!A3:L33,2,FALSE)-(IF('2-Calc. Sheet'!O27="0%","0",'2-Calc. Sheet'!O27*(VLOOKUP('2-Calc. Sheet'!I17,Sheet2!A3:L33,2,FALSE))/100))</f>
        <v>#N/A</v>
      </c>
      <c r="N4" s="290" t="s">
        <v>1079</v>
      </c>
      <c r="O4" s="201" t="str">
        <f>IF('2-Calc. Sheet'!I15&gt;=50,IF('2-Calc. Sheet'!I15&lt;=99,'2-Calc. Sheet'!I15," ")," ")</f>
        <v xml:space="preserve"> </v>
      </c>
      <c r="P4" s="254">
        <v>0.25</v>
      </c>
      <c r="Q4" s="201">
        <v>1</v>
      </c>
      <c r="R4" s="201">
        <v>1</v>
      </c>
      <c r="U4" s="99" t="s">
        <v>43</v>
      </c>
      <c r="V4" s="99">
        <v>0</v>
      </c>
      <c r="X4" s="200" t="str">
        <f>IF('2-Calc. Sheet'!AE15&gt;=11,IF('2-Calc. Sheet'!AE15&lt;=15,'2-Calc. Sheet'!AE15," ")," ")</f>
        <v xml:space="preserve"> </v>
      </c>
      <c r="Y4" s="202" t="s">
        <v>489</v>
      </c>
      <c r="Z4" s="99">
        <v>250</v>
      </c>
      <c r="AA4" s="99">
        <v>200</v>
      </c>
      <c r="AB4" s="99">
        <v>250</v>
      </c>
      <c r="AC4" s="99">
        <v>250</v>
      </c>
      <c r="AD4" s="99">
        <v>0.2</v>
      </c>
      <c r="AE4" s="99" t="s">
        <v>484</v>
      </c>
      <c r="AF4" s="99" t="s">
        <v>485</v>
      </c>
      <c r="AG4" s="259">
        <v>5</v>
      </c>
      <c r="AH4" s="259">
        <v>7</v>
      </c>
      <c r="AI4" s="259">
        <v>9</v>
      </c>
      <c r="AJ4" s="335">
        <v>2</v>
      </c>
      <c r="AK4" s="335">
        <v>3.5</v>
      </c>
      <c r="AL4" s="335">
        <v>2.5</v>
      </c>
      <c r="AM4" s="335">
        <v>5</v>
      </c>
      <c r="AN4" s="335">
        <v>3</v>
      </c>
      <c r="AO4" s="335">
        <v>6</v>
      </c>
    </row>
    <row r="5" spans="1:41" ht="15.75" thickBot="1">
      <c r="A5" s="200" t="str">
        <f>IF('2-Calc. Sheet'!I15&gt;=16,IF('2-Calc. Sheet'!I15&lt;=25,'2-Calc. Sheet'!I15," ")," ")</f>
        <v xml:space="preserve"> </v>
      </c>
      <c r="B5" s="201">
        <v>3</v>
      </c>
      <c r="C5" s="201">
        <v>3.5</v>
      </c>
      <c r="D5" s="201">
        <v>5</v>
      </c>
      <c r="E5" s="201" t="str">
        <f>IF('2-Calc. Sheet'!$K$15&gt;=26,IF('2-Calc. Sheet'!$K$15&lt;=65,'2-Calc. Sheet'!$K$15," ")," ")</f>
        <v xml:space="preserve"> </v>
      </c>
      <c r="F5" s="201" t="e">
        <f t="shared" si="0"/>
        <v>#N/A</v>
      </c>
      <c r="G5" s="201">
        <v>0</v>
      </c>
      <c r="H5" s="201" t="e">
        <f t="shared" si="1"/>
        <v>#N/A</v>
      </c>
      <c r="I5" s="201">
        <v>-0.5</v>
      </c>
      <c r="J5" s="201">
        <v>0</v>
      </c>
      <c r="K5" s="201">
        <v>1</v>
      </c>
      <c r="L5" s="201">
        <v>2</v>
      </c>
      <c r="M5" s="201" t="e">
        <f>VLOOKUP('2-Calc. Sheet'!I18,Sheet2!A4:L34,2,FALSE)-(IF('2-Calc. Sheet'!O28="0%","0",'2-Calc. Sheet'!O28*(VLOOKUP('2-Calc. Sheet'!I18,Sheet2!A4:L34,2,FALSE))/100))</f>
        <v>#N/A</v>
      </c>
      <c r="N5" s="290" t="s">
        <v>1080</v>
      </c>
      <c r="O5" s="201" t="str">
        <f>IF('2-Calc. Sheet'!I15&gt;=100,IF('2-Calc. Sheet'!I15&lt;=199,'2-Calc. Sheet'!I15," ")," ")</f>
        <v xml:space="preserve"> </v>
      </c>
      <c r="P5" s="254">
        <v>0.25</v>
      </c>
      <c r="Q5" s="201">
        <v>1.5</v>
      </c>
      <c r="R5" s="201">
        <v>1</v>
      </c>
      <c r="U5" s="99" t="s">
        <v>21</v>
      </c>
      <c r="V5" s="99">
        <v>0.25</v>
      </c>
      <c r="X5" s="200" t="str">
        <f>IF('2-Calc. Sheet'!AE15&gt;=16,IF('2-Calc. Sheet'!AE15&lt;=25,'2-Calc. Sheet'!AE15," ")," ")</f>
        <v xml:space="preserve"> </v>
      </c>
      <c r="Y5" s="202" t="s">
        <v>490</v>
      </c>
      <c r="Z5" s="99">
        <v>250</v>
      </c>
      <c r="AA5" s="99">
        <v>200</v>
      </c>
      <c r="AB5" s="99">
        <v>250</v>
      </c>
      <c r="AC5" s="99">
        <v>250</v>
      </c>
      <c r="AD5" s="99">
        <v>0.2</v>
      </c>
      <c r="AE5" s="99" t="s">
        <v>484</v>
      </c>
      <c r="AF5" s="99" t="s">
        <v>485</v>
      </c>
      <c r="AG5" s="259">
        <v>6.5</v>
      </c>
      <c r="AH5" s="259">
        <v>8</v>
      </c>
      <c r="AI5" s="259">
        <v>10</v>
      </c>
      <c r="AJ5" s="335">
        <v>2.5</v>
      </c>
      <c r="AK5" s="335">
        <v>5</v>
      </c>
      <c r="AL5" s="335">
        <v>3</v>
      </c>
      <c r="AM5" s="335">
        <v>6</v>
      </c>
      <c r="AN5" s="335">
        <v>3.5</v>
      </c>
      <c r="AO5" s="335">
        <v>7</v>
      </c>
    </row>
    <row r="6" spans="1:41" ht="15.75" thickBot="1">
      <c r="A6" s="200" t="str">
        <f>IF('2-Calc. Sheet'!I15&gt;=26,IF('2-Calc. Sheet'!I15&lt;=45,'2-Calc. Sheet'!I15," ")," ")</f>
        <v xml:space="preserve"> </v>
      </c>
      <c r="B6" s="201">
        <v>4</v>
      </c>
      <c r="C6" s="201">
        <v>4</v>
      </c>
      <c r="D6" s="201">
        <v>6</v>
      </c>
      <c r="E6" s="201" t="str">
        <f>IF('2-Calc. Sheet'!$K$15&gt;=66,IF('2-Calc. Sheet'!$K$15&lt;=85,'2-Calc. Sheet'!$K$15," ")," ")</f>
        <v xml:space="preserve"> </v>
      </c>
      <c r="F6" s="201" t="e">
        <f t="shared" si="0"/>
        <v>#N/A</v>
      </c>
      <c r="G6" s="201">
        <v>0</v>
      </c>
      <c r="H6" s="201" t="e">
        <f t="shared" si="1"/>
        <v>#N/A</v>
      </c>
      <c r="I6" s="201">
        <v>-1</v>
      </c>
      <c r="J6" s="201">
        <v>0</v>
      </c>
      <c r="K6" s="201">
        <v>1.5</v>
      </c>
      <c r="L6" s="201">
        <v>3</v>
      </c>
      <c r="M6" s="201" t="e">
        <f>VLOOKUP('2-Calc. Sheet'!I19,Sheet2!A5:L35,2,FALSE)-(IF('2-Calc. Sheet'!O29="0%","0",'2-Calc. Sheet'!O29*(VLOOKUP('2-Calc. Sheet'!I19,Sheet2!A5:L35,2,FALSE))/100))</f>
        <v>#N/A</v>
      </c>
      <c r="N6" s="290" t="s">
        <v>1081</v>
      </c>
      <c r="O6" s="201" t="str">
        <f>IF('2-Calc. Sheet'!I15&gt;=200,IF('2-Calc. Sheet'!I15&lt;=499,'2-Calc. Sheet'!I15," ")," ")</f>
        <v xml:space="preserve"> </v>
      </c>
      <c r="P6" s="254">
        <v>0.25</v>
      </c>
      <c r="Q6" s="201">
        <v>2</v>
      </c>
      <c r="R6" s="201">
        <v>1</v>
      </c>
      <c r="X6" s="200" t="str">
        <f>IF('2-Calc. Sheet'!AE15&gt;=26,IF('2-Calc. Sheet'!AE15&lt;=45,'2-Calc. Sheet'!AE15," ")," ")</f>
        <v xml:space="preserve"> </v>
      </c>
      <c r="Y6" s="202" t="s">
        <v>491</v>
      </c>
      <c r="Z6" s="99">
        <v>250</v>
      </c>
      <c r="AA6" s="99">
        <v>200</v>
      </c>
      <c r="AB6" s="99">
        <v>250</v>
      </c>
      <c r="AC6" s="99">
        <v>250</v>
      </c>
      <c r="AD6" s="99">
        <v>0.2</v>
      </c>
      <c r="AE6" s="99" t="s">
        <v>484</v>
      </c>
      <c r="AF6" s="99" t="s">
        <v>485</v>
      </c>
      <c r="AG6" s="259">
        <v>8</v>
      </c>
      <c r="AH6" s="259">
        <v>9.5</v>
      </c>
      <c r="AI6" s="259">
        <v>11.5</v>
      </c>
      <c r="AJ6" s="335">
        <v>2.5</v>
      </c>
      <c r="AK6" s="335">
        <v>6</v>
      </c>
      <c r="AL6" s="335">
        <v>3.5</v>
      </c>
      <c r="AM6" s="335">
        <v>6.5</v>
      </c>
      <c r="AN6" s="335">
        <v>3.5</v>
      </c>
      <c r="AO6" s="335">
        <v>8.5</v>
      </c>
    </row>
    <row r="7" spans="1:41" ht="23.25" customHeight="1" thickBot="1">
      <c r="A7" s="200" t="str">
        <f>IF('2-Calc. Sheet'!I15&gt;=46,IF('2-Calc. Sheet'!I15&lt;=65,'2-Calc. Sheet'!I15," ")," ")</f>
        <v xml:space="preserve"> </v>
      </c>
      <c r="B7" s="201">
        <v>5</v>
      </c>
      <c r="C7" s="201">
        <v>4.5</v>
      </c>
      <c r="D7" s="201">
        <v>7</v>
      </c>
      <c r="E7" s="201" t="str">
        <f>IF('2-Calc. Sheet'!$K$15&gt;=86,IF('2-Calc. Sheet'!$K$15&lt;=175,'2-Calc. Sheet'!$K$15," ")," ")</f>
        <v xml:space="preserve"> </v>
      </c>
      <c r="F7" s="201" t="e">
        <f t="shared" si="0"/>
        <v>#N/A</v>
      </c>
      <c r="G7" s="201">
        <v>0</v>
      </c>
      <c r="H7" s="201" t="e">
        <f t="shared" si="1"/>
        <v>#N/A</v>
      </c>
      <c r="I7" s="201">
        <v>-1</v>
      </c>
      <c r="J7" s="201">
        <v>0</v>
      </c>
      <c r="K7" s="201">
        <v>1.5</v>
      </c>
      <c r="L7" s="201">
        <v>3.5</v>
      </c>
      <c r="M7" s="201" t="e">
        <f>VLOOKUP('2-Calc. Sheet'!I20,Sheet2!A6:L36,2,FALSE)-(IF('2-Calc. Sheet'!O30="0%","0",'2-Calc. Sheet'!O30*(VLOOKUP('2-Calc. Sheet'!I20,Sheet2!A6:L36,2,FALSE))/100))</f>
        <v>#N/A</v>
      </c>
      <c r="N7" s="290" t="s">
        <v>1082</v>
      </c>
      <c r="O7" s="201" t="str">
        <f>IF('2-Calc. Sheet'!I15&gt;=500,IF('2-Calc. Sheet'!I15&lt;=999,'2-Calc. Sheet'!I15," ")," ")</f>
        <v xml:space="preserve"> </v>
      </c>
      <c r="P7" s="336">
        <v>0.5</v>
      </c>
      <c r="Q7" s="201">
        <v>2.5</v>
      </c>
      <c r="R7" s="201">
        <v>2</v>
      </c>
      <c r="X7" s="200" t="str">
        <f>IF('2-Calc. Sheet'!AE15&gt;=46,IF('2-Calc. Sheet'!AE15&lt;=65,'2-Calc. Sheet'!AE15," ")," ")</f>
        <v xml:space="preserve"> </v>
      </c>
      <c r="Y7" s="202" t="s">
        <v>492</v>
      </c>
      <c r="Z7" s="99">
        <v>250</v>
      </c>
      <c r="AA7" s="99">
        <v>200</v>
      </c>
      <c r="AB7" s="99">
        <v>250</v>
      </c>
      <c r="AC7" s="99">
        <v>250</v>
      </c>
      <c r="AD7" s="99">
        <v>0.2</v>
      </c>
      <c r="AE7" s="99" t="s">
        <v>484</v>
      </c>
      <c r="AF7" s="99" t="s">
        <v>485</v>
      </c>
      <c r="AG7" s="259">
        <v>8.5</v>
      </c>
      <c r="AH7" s="259">
        <v>11</v>
      </c>
      <c r="AI7" s="259">
        <v>12</v>
      </c>
      <c r="AJ7" s="335">
        <v>2.5</v>
      </c>
      <c r="AK7" s="335">
        <v>6</v>
      </c>
      <c r="AL7" s="335">
        <v>3.5</v>
      </c>
      <c r="AM7" s="335">
        <v>7</v>
      </c>
      <c r="AN7" s="335">
        <v>3.5</v>
      </c>
      <c r="AO7" s="335">
        <v>8.5</v>
      </c>
    </row>
    <row r="8" spans="1:41" ht="15.75" thickBot="1">
      <c r="A8" s="200" t="str">
        <f>IF('2-Calc. Sheet'!I15&gt;=66,IF('2-Calc. Sheet'!I15&lt;=85,'2-Calc. Sheet'!I15," ")," ")</f>
        <v xml:space="preserve"> </v>
      </c>
      <c r="B8" s="201">
        <v>6</v>
      </c>
      <c r="C8" s="201">
        <v>5</v>
      </c>
      <c r="D8" s="201">
        <v>8</v>
      </c>
      <c r="E8" s="201" t="str">
        <f>IF('2-Calc. Sheet'!$K$15&gt;=176,IF('2-Calc. Sheet'!$K$15&lt;=275,'2-Calc. Sheet'!$K$15," ")," ")</f>
        <v xml:space="preserve"> </v>
      </c>
      <c r="F8" s="201" t="e">
        <f t="shared" si="0"/>
        <v>#N/A</v>
      </c>
      <c r="G8" s="201">
        <v>0</v>
      </c>
      <c r="H8" s="201" t="e">
        <f t="shared" si="1"/>
        <v>#N/A</v>
      </c>
      <c r="I8" s="201">
        <v>-1.5</v>
      </c>
      <c r="J8" s="201">
        <v>0</v>
      </c>
      <c r="K8" s="201">
        <v>2</v>
      </c>
      <c r="L8" s="201">
        <v>4</v>
      </c>
      <c r="M8" s="201" t="e">
        <f>VLOOKUP('2-Calc. Sheet'!I21,Sheet2!A7:L37,2,FALSE)-(IF('2-Calc. Sheet'!O33="0%","0",'2-Calc. Sheet'!O33*(VLOOKUP('2-Calc. Sheet'!I21,Sheet2!A7:L37,2,FALSE))/100))</f>
        <v>#N/A</v>
      </c>
      <c r="N8" s="290" t="s">
        <v>1083</v>
      </c>
      <c r="O8" s="201" t="str">
        <f>IF('2-Calc. Sheet'!I15&gt;=1000,'2-Calc. Sheet'!I15," ")</f>
        <v xml:space="preserve"> </v>
      </c>
      <c r="P8" s="336">
        <v>0.5</v>
      </c>
      <c r="Q8" s="201">
        <v>3</v>
      </c>
      <c r="R8" s="201">
        <v>2</v>
      </c>
      <c r="X8" s="200" t="str">
        <f>IF('2-Calc. Sheet'!AE15&gt;=66,IF('2-Calc. Sheet'!AE15&lt;=85,'2-Calc. Sheet'!AE15," ")," ")</f>
        <v xml:space="preserve"> </v>
      </c>
      <c r="Y8" s="202" t="s">
        <v>493</v>
      </c>
      <c r="Z8" s="99">
        <v>250</v>
      </c>
      <c r="AA8" s="99">
        <v>200</v>
      </c>
      <c r="AB8" s="99">
        <v>250</v>
      </c>
      <c r="AC8" s="99">
        <v>250</v>
      </c>
      <c r="AD8" s="99">
        <v>0.2</v>
      </c>
      <c r="AE8" s="99" t="s">
        <v>484</v>
      </c>
      <c r="AF8" s="99" t="s">
        <v>485</v>
      </c>
      <c r="AG8" s="259">
        <v>9</v>
      </c>
      <c r="AH8" s="259">
        <v>11.5</v>
      </c>
      <c r="AI8" s="259">
        <v>12.5</v>
      </c>
      <c r="AJ8" s="335">
        <v>3</v>
      </c>
      <c r="AK8" s="335">
        <v>6</v>
      </c>
      <c r="AL8" s="335">
        <v>4</v>
      </c>
      <c r="AM8" s="335">
        <v>8</v>
      </c>
      <c r="AN8" s="335">
        <v>4</v>
      </c>
      <c r="AO8" s="335">
        <v>9.5</v>
      </c>
    </row>
    <row r="9" spans="1:41" ht="15.75" thickBot="1">
      <c r="A9" s="200" t="str">
        <f>IF('2-Calc. Sheet'!I15&gt;=86,IF('2-Calc. Sheet'!I15&lt;=125,'2-Calc. Sheet'!I15," ")," ")</f>
        <v xml:space="preserve"> </v>
      </c>
      <c r="B9" s="201">
        <v>7</v>
      </c>
      <c r="C9" s="201">
        <v>5.5</v>
      </c>
      <c r="D9" s="201">
        <v>10</v>
      </c>
      <c r="E9" s="201" t="str">
        <f>IF('2-Calc. Sheet'!$K$15&gt;=276,IF('2-Calc. Sheet'!$K$15&lt;=425,'2-Calc. Sheet'!$K$15," ")," ")</f>
        <v xml:space="preserve"> </v>
      </c>
      <c r="F9" s="201" t="e">
        <f t="shared" si="0"/>
        <v>#N/A</v>
      </c>
      <c r="G9" s="201">
        <v>0</v>
      </c>
      <c r="H9" s="201" t="e">
        <f t="shared" si="1"/>
        <v>#N/A</v>
      </c>
      <c r="I9" s="201">
        <v>-1.5</v>
      </c>
      <c r="J9" s="201">
        <v>0</v>
      </c>
      <c r="K9" s="201">
        <v>2.5</v>
      </c>
      <c r="L9" s="201">
        <v>5.5</v>
      </c>
      <c r="M9" s="201" t="e">
        <f>VLOOKUP('2-Calc. Sheet'!I22,Sheet2!A8:L38,2,FALSE)-(IF('2-Calc. Sheet'!M34="0%","0",'2-Calc. Sheet'!M34*(VLOOKUP('2-Calc. Sheet'!I22,Sheet2!A8:L38,2,FALSE))/100))</f>
        <v>#N/A</v>
      </c>
      <c r="N9" s="290" t="s">
        <v>1084</v>
      </c>
      <c r="O9" s="201"/>
      <c r="P9" s="336">
        <v>0.5</v>
      </c>
      <c r="Q9" s="201"/>
      <c r="R9" s="201">
        <v>2</v>
      </c>
      <c r="X9" s="200" t="str">
        <f>IF('2-Calc. Sheet'!AE15&gt;=86,IF('2-Calc. Sheet'!AE15&lt;=125,'2-Calc. Sheet'!AE15," ")," ")</f>
        <v xml:space="preserve"> </v>
      </c>
      <c r="Y9" s="202" t="s">
        <v>494</v>
      </c>
      <c r="Z9" s="99">
        <v>250</v>
      </c>
      <c r="AA9" s="99">
        <v>200</v>
      </c>
      <c r="AB9" s="99">
        <v>250</v>
      </c>
      <c r="AC9" s="99">
        <v>250</v>
      </c>
      <c r="AD9" s="99">
        <v>0.2</v>
      </c>
      <c r="AE9" s="99" t="s">
        <v>484</v>
      </c>
      <c r="AF9" s="99" t="s">
        <v>485</v>
      </c>
      <c r="AG9" s="259">
        <v>10</v>
      </c>
      <c r="AH9" s="259">
        <v>13</v>
      </c>
      <c r="AI9" s="259">
        <v>15</v>
      </c>
      <c r="AJ9" s="335">
        <v>3.5</v>
      </c>
      <c r="AK9" s="335">
        <v>7</v>
      </c>
      <c r="AL9" s="335">
        <v>4</v>
      </c>
      <c r="AM9" s="335">
        <v>8.5</v>
      </c>
      <c r="AN9" s="335">
        <v>5</v>
      </c>
      <c r="AO9" s="335">
        <v>11</v>
      </c>
    </row>
    <row r="10" spans="1:41" ht="15.75" thickBot="1">
      <c r="A10" s="200" t="str">
        <f>IF('2-Calc. Sheet'!I15&gt;=126,IF('2-Calc. Sheet'!I15&lt;=175,'2-Calc. Sheet'!I15," ")," ")</f>
        <v xml:space="preserve"> </v>
      </c>
      <c r="B10" s="201">
        <v>8</v>
      </c>
      <c r="C10" s="201">
        <v>6</v>
      </c>
      <c r="D10" s="201">
        <v>11</v>
      </c>
      <c r="E10" s="337" t="str">
        <f>IF('2-Calc. Sheet'!$K$15&gt;=426,'2-Calc. Sheet'!$K$15," ")</f>
        <v xml:space="preserve"> </v>
      </c>
      <c r="F10" s="201" t="e">
        <f t="shared" si="0"/>
        <v>#N/A</v>
      </c>
      <c r="G10" s="201">
        <v>0</v>
      </c>
      <c r="H10" s="201" t="e">
        <f t="shared" si="1"/>
        <v>#N/A</v>
      </c>
      <c r="I10" s="201">
        <v>-1.5</v>
      </c>
      <c r="J10" s="201">
        <v>0</v>
      </c>
      <c r="K10" s="201">
        <v>3</v>
      </c>
      <c r="L10" s="201">
        <v>6</v>
      </c>
      <c r="M10" s="201" t="e">
        <f>VLOOKUP('2-Calc. Sheet'!I23,Sheet2!A9:L39,2,FALSE)-(IF('2-Calc. Sheet'!M35="0%","0",'2-Calc. Sheet'!M35*(VLOOKUP('2-Calc. Sheet'!I23,Sheet2!A9:L39,2,FALSE))/100))</f>
        <v>#N/A</v>
      </c>
      <c r="N10" s="290" t="s">
        <v>1085</v>
      </c>
      <c r="O10" s="201"/>
      <c r="P10" s="336">
        <v>0.5</v>
      </c>
      <c r="Q10" s="201"/>
      <c r="R10" s="201">
        <v>2</v>
      </c>
      <c r="X10" s="200" t="str">
        <f>IF('2-Calc. Sheet'!AE15&gt;=126,IF('2-Calc. Sheet'!AE15&lt;=175,'2-Calc. Sheet'!AE15," ")," ")</f>
        <v xml:space="preserve"> </v>
      </c>
      <c r="Y10" s="202" t="s">
        <v>495</v>
      </c>
      <c r="Z10" s="99">
        <v>250</v>
      </c>
      <c r="AA10" s="99">
        <v>200</v>
      </c>
      <c r="AB10" s="99">
        <v>250</v>
      </c>
      <c r="AC10" s="99">
        <v>250</v>
      </c>
      <c r="AD10" s="99">
        <v>0.2</v>
      </c>
      <c r="AE10" s="99" t="s">
        <v>484</v>
      </c>
      <c r="AF10" s="99" t="s">
        <v>485</v>
      </c>
      <c r="AJ10" s="338"/>
      <c r="AK10" s="339"/>
      <c r="AL10" s="339"/>
      <c r="AM10" s="339"/>
      <c r="AN10" s="339"/>
      <c r="AO10" s="339"/>
    </row>
    <row r="11" spans="1:41" ht="15.75" thickBot="1">
      <c r="A11" s="200" t="str">
        <f>IF('2-Calc. Sheet'!I15&gt;=176,IF('2-Calc. Sheet'!I15&lt;=275,'2-Calc. Sheet'!I15," ")," ")</f>
        <v xml:space="preserve"> </v>
      </c>
      <c r="B11" s="201">
        <v>9</v>
      </c>
      <c r="C11" s="201">
        <v>7</v>
      </c>
      <c r="D11" s="201">
        <v>12</v>
      </c>
      <c r="E11" s="201"/>
      <c r="F11" s="201" t="e">
        <f t="shared" si="0"/>
        <v>#N/A</v>
      </c>
      <c r="G11" s="201">
        <v>0</v>
      </c>
      <c r="H11" s="201" t="e">
        <f t="shared" si="1"/>
        <v>#N/A</v>
      </c>
      <c r="I11" s="201">
        <v>-2</v>
      </c>
      <c r="J11" s="201">
        <v>0</v>
      </c>
      <c r="K11" s="201">
        <v>3</v>
      </c>
      <c r="L11" s="201">
        <v>6</v>
      </c>
      <c r="M11" s="201" t="e">
        <f>VLOOKUP('2-Calc. Sheet'!I24,Sheet2!A10:L40,2,FALSE)-(IF('2-Calc. Sheet'!M36="0%","0",'2-Calc. Sheet'!M36*(VLOOKUP('2-Calc. Sheet'!I24,Sheet2!A10:L40,2,FALSE))/100))</f>
        <v>#N/A</v>
      </c>
      <c r="N11" s="290" t="s">
        <v>1086</v>
      </c>
      <c r="O11" s="201"/>
      <c r="P11" s="336">
        <v>0.5</v>
      </c>
      <c r="Q11" s="201"/>
      <c r="R11" s="201">
        <v>2</v>
      </c>
      <c r="X11" s="200" t="str">
        <f>IF('2-Calc. Sheet'!AE15&gt;=176,IF('2-Calc. Sheet'!AE15&lt;=275,'2-Calc. Sheet'!AE15," ")," ")</f>
        <v xml:space="preserve"> </v>
      </c>
      <c r="Y11" s="202" t="s">
        <v>496</v>
      </c>
      <c r="Z11" s="99">
        <v>250</v>
      </c>
      <c r="AA11" s="99">
        <v>200</v>
      </c>
      <c r="AB11" s="99">
        <v>250</v>
      </c>
      <c r="AC11" s="99">
        <v>250</v>
      </c>
      <c r="AD11" s="99">
        <v>0.2</v>
      </c>
      <c r="AE11" s="99" t="s">
        <v>484</v>
      </c>
      <c r="AF11" s="99" t="s">
        <v>485</v>
      </c>
      <c r="AJ11" s="335"/>
      <c r="AK11" s="339"/>
      <c r="AL11" s="339"/>
      <c r="AM11" s="339"/>
      <c r="AN11" s="339"/>
      <c r="AO11" s="339"/>
    </row>
    <row r="12" spans="1:41" ht="15.75" thickBot="1">
      <c r="A12" s="200" t="str">
        <f>IF('2-Calc. Sheet'!I15&gt;=276,IF('2-Calc. Sheet'!I15&lt;=425,'2-Calc. Sheet'!I15," ")," ")</f>
        <v xml:space="preserve"> </v>
      </c>
      <c r="B12" s="201">
        <v>10</v>
      </c>
      <c r="C12" s="201">
        <v>8</v>
      </c>
      <c r="D12" s="201">
        <v>13</v>
      </c>
      <c r="E12" s="201"/>
      <c r="F12" s="201" t="e">
        <f t="shared" si="0"/>
        <v>#N/A</v>
      </c>
      <c r="G12" s="201">
        <v>0</v>
      </c>
      <c r="H12" s="201" t="e">
        <f t="shared" si="1"/>
        <v>#N/A</v>
      </c>
      <c r="I12" s="201">
        <v>-2.5</v>
      </c>
      <c r="J12" s="201">
        <v>0</v>
      </c>
      <c r="K12" s="201">
        <v>3</v>
      </c>
      <c r="L12" s="201">
        <v>7</v>
      </c>
      <c r="M12" s="201" t="e">
        <f>VLOOKUP('2-Calc. Sheet'!I25,Sheet2!A11:L41,2,FALSE)-(IF('2-Calc. Sheet'!O37="0%","0",'2-Calc. Sheet'!O37*(VLOOKUP('2-Calc. Sheet'!I25,Sheet2!A11:L41,2,FALSE))/100))</f>
        <v>#N/A</v>
      </c>
      <c r="N12" s="290" t="s">
        <v>864</v>
      </c>
      <c r="O12" s="201"/>
      <c r="P12" s="336">
        <v>0.5</v>
      </c>
      <c r="Q12" s="201"/>
      <c r="R12" s="201">
        <v>1</v>
      </c>
      <c r="X12" s="200" t="str">
        <f>IF('2-Calc. Sheet'!AE15&gt;=276,IF('2-Calc. Sheet'!AE15&lt;=425,'2-Calc. Sheet'!AE15," ")," ")</f>
        <v xml:space="preserve"> </v>
      </c>
      <c r="Y12" s="202" t="s">
        <v>497</v>
      </c>
      <c r="Z12" s="99">
        <v>250</v>
      </c>
      <c r="AA12" s="99">
        <v>200</v>
      </c>
      <c r="AB12" s="99">
        <v>250</v>
      </c>
      <c r="AC12" s="99">
        <v>250</v>
      </c>
      <c r="AD12" s="99">
        <v>0.2</v>
      </c>
      <c r="AE12" s="99" t="s">
        <v>484</v>
      </c>
      <c r="AF12" s="99" t="s">
        <v>485</v>
      </c>
      <c r="AJ12" s="335"/>
      <c r="AK12" s="339"/>
      <c r="AL12" s="339"/>
      <c r="AM12" s="339"/>
      <c r="AN12" s="339"/>
      <c r="AO12" s="339"/>
    </row>
    <row r="13" spans="1:41">
      <c r="A13" s="200"/>
      <c r="B13" s="201"/>
      <c r="C13" s="201"/>
      <c r="D13" s="201"/>
      <c r="E13" s="337"/>
      <c r="F13" s="201" t="e">
        <f t="shared" si="0"/>
        <v>#N/A</v>
      </c>
      <c r="G13" s="201"/>
      <c r="H13" s="201" t="e">
        <f t="shared" si="1"/>
        <v>#N/A</v>
      </c>
      <c r="I13" s="201"/>
      <c r="J13" s="201"/>
      <c r="K13" s="201"/>
      <c r="L13" s="201"/>
      <c r="M13" s="337" t="e">
        <f>VLOOKUP('2-Calc. Sheet'!I26,Sheet2!A12:L42,2,FALSE)-(IF('2-Calc. Sheet'!O36="0%","0",'2-Calc. Sheet'!O36*(VLOOKUP('2-Calc. Sheet'!I26,Sheet2!A12:L42,2,FALSE))/100))</f>
        <v>#N/A</v>
      </c>
      <c r="N13" s="290" t="s">
        <v>866</v>
      </c>
      <c r="O13" s="254"/>
      <c r="P13" s="336">
        <v>0.5</v>
      </c>
      <c r="Q13" s="340"/>
      <c r="R13" s="254">
        <v>1.5</v>
      </c>
      <c r="X13" s="200" t="str">
        <f>IF('2-Calc. Sheet'!AE15&gt;=426,IF('2-Calc. Sheet'!AE15&lt;=625,'2-Calc. Sheet'!AE15," ")," ")</f>
        <v xml:space="preserve"> </v>
      </c>
      <c r="Y13" s="202" t="s">
        <v>498</v>
      </c>
      <c r="Z13" s="99">
        <v>250</v>
      </c>
      <c r="AA13" s="99">
        <v>200</v>
      </c>
      <c r="AB13" s="99">
        <v>250</v>
      </c>
      <c r="AC13" s="99">
        <v>250</v>
      </c>
      <c r="AD13" s="99">
        <v>0.2</v>
      </c>
      <c r="AE13" s="99" t="s">
        <v>484</v>
      </c>
      <c r="AF13" s="99" t="s">
        <v>485</v>
      </c>
    </row>
    <row r="14" spans="1:41">
      <c r="A14" s="200"/>
      <c r="B14" s="201"/>
      <c r="C14" s="201"/>
      <c r="D14" s="201"/>
      <c r="E14" s="337"/>
      <c r="F14" s="201" t="e">
        <f t="shared" si="0"/>
        <v>#N/A</v>
      </c>
      <c r="G14" s="201"/>
      <c r="H14" s="201" t="e">
        <f t="shared" si="1"/>
        <v>#N/A</v>
      </c>
      <c r="I14" s="201"/>
      <c r="J14" s="201"/>
      <c r="K14" s="201"/>
      <c r="L14" s="201"/>
      <c r="M14" s="337" t="e">
        <f>VLOOKUP('2-Calc. Sheet'!I27,Sheet2!A13:L43,2,FALSE)-(IF('2-Calc. Sheet'!O37="0%","0",'2-Calc. Sheet'!O37*(VLOOKUP('2-Calc. Sheet'!I27,Sheet2!A13:L43,2,FALSE))/100))</f>
        <v>#N/A</v>
      </c>
      <c r="N14" s="290" t="s">
        <v>1087</v>
      </c>
      <c r="O14" s="201"/>
      <c r="P14" s="336">
        <v>0.5</v>
      </c>
      <c r="Q14" s="201"/>
      <c r="R14" s="201">
        <v>1</v>
      </c>
      <c r="Y14" s="202" t="s">
        <v>499</v>
      </c>
      <c r="Z14" s="99">
        <v>250</v>
      </c>
      <c r="AA14" s="99">
        <v>200</v>
      </c>
      <c r="AB14" s="99">
        <v>250</v>
      </c>
      <c r="AC14" s="99">
        <v>250</v>
      </c>
      <c r="AD14" s="99">
        <v>0.2</v>
      </c>
      <c r="AE14" s="99" t="s">
        <v>484</v>
      </c>
      <c r="AF14" s="99" t="s">
        <v>485</v>
      </c>
    </row>
    <row r="15" spans="1:41">
      <c r="A15" s="200"/>
      <c r="B15" s="201"/>
      <c r="C15" s="201"/>
      <c r="D15" s="201"/>
      <c r="E15" s="337"/>
      <c r="F15" s="201" t="e">
        <f t="shared" si="0"/>
        <v>#N/A</v>
      </c>
      <c r="G15" s="201"/>
      <c r="H15" s="201" t="e">
        <f t="shared" si="1"/>
        <v>#N/A</v>
      </c>
      <c r="I15" s="201"/>
      <c r="J15" s="201"/>
      <c r="K15" s="201"/>
      <c r="L15" s="201"/>
      <c r="M15" s="337" t="e">
        <f>VLOOKUP('2-Calc. Sheet'!I28,Sheet2!A14:L44,2,FALSE)-(IF('2-Calc. Sheet'!O38="0%","0",'2-Calc. Sheet'!O38*(VLOOKUP('2-Calc. Sheet'!I28,Sheet2!A14:L44,2,FALSE))/100))</f>
        <v>#N/A</v>
      </c>
      <c r="N15" s="290" t="s">
        <v>1088</v>
      </c>
      <c r="O15" s="201"/>
      <c r="P15" s="99">
        <v>0.5</v>
      </c>
      <c r="Q15" s="201"/>
      <c r="R15" s="201">
        <v>1</v>
      </c>
      <c r="Y15" s="202" t="s">
        <v>500</v>
      </c>
      <c r="Z15" s="99">
        <v>250</v>
      </c>
      <c r="AA15" s="99">
        <v>200</v>
      </c>
      <c r="AB15" s="99">
        <v>250</v>
      </c>
      <c r="AC15" s="99">
        <v>250</v>
      </c>
      <c r="AD15" s="99">
        <v>0.2</v>
      </c>
      <c r="AE15" s="99" t="s">
        <v>484</v>
      </c>
      <c r="AF15" s="99" t="s">
        <v>485</v>
      </c>
    </row>
    <row r="16" spans="1:41">
      <c r="A16" s="200"/>
      <c r="B16" s="201"/>
      <c r="C16" s="201"/>
      <c r="D16" s="201"/>
      <c r="E16" s="337"/>
      <c r="F16" s="201" t="e">
        <f t="shared" si="0"/>
        <v>#N/A</v>
      </c>
      <c r="G16" s="201"/>
      <c r="H16" s="201" t="e">
        <f t="shared" si="1"/>
        <v>#N/A</v>
      </c>
      <c r="I16" s="201"/>
      <c r="J16" s="201"/>
      <c r="K16" s="201"/>
      <c r="L16" s="201"/>
      <c r="M16" s="337" t="e">
        <f>VLOOKUP('2-Calc. Sheet'!I29,Sheet2!A15:L45,2,FALSE)-(IF('2-Calc. Sheet'!O39="0%","0",'2-Calc. Sheet'!O39*(VLOOKUP('2-Calc. Sheet'!I29,Sheet2!A15:L45,2,FALSE))/100))</f>
        <v>#N/A</v>
      </c>
      <c r="N16" s="290" t="s">
        <v>870</v>
      </c>
      <c r="O16" s="201"/>
      <c r="P16" s="99">
        <v>0.25</v>
      </c>
      <c r="Q16" s="201"/>
      <c r="R16" s="201">
        <v>1.5</v>
      </c>
      <c r="T16" s="99" t="s">
        <v>501</v>
      </c>
      <c r="V16" s="99" t="s">
        <v>501</v>
      </c>
      <c r="Y16" s="202" t="s">
        <v>502</v>
      </c>
      <c r="Z16" s="99">
        <v>250</v>
      </c>
      <c r="AA16" s="99">
        <v>200</v>
      </c>
      <c r="AB16" s="99">
        <v>250</v>
      </c>
      <c r="AC16" s="99">
        <v>250</v>
      </c>
      <c r="AD16" s="99">
        <v>0.2</v>
      </c>
      <c r="AE16" s="99" t="s">
        <v>484</v>
      </c>
      <c r="AF16" s="99" t="s">
        <v>485</v>
      </c>
    </row>
    <row r="17" spans="1:35">
      <c r="A17" s="200"/>
      <c r="B17" s="201"/>
      <c r="C17" s="201"/>
      <c r="D17" s="201"/>
      <c r="E17" s="337"/>
      <c r="F17" s="201" t="e">
        <f t="shared" si="0"/>
        <v>#N/A</v>
      </c>
      <c r="G17" s="201"/>
      <c r="H17" s="201" t="e">
        <f t="shared" si="1"/>
        <v>#N/A</v>
      </c>
      <c r="I17" s="201"/>
      <c r="J17" s="201"/>
      <c r="K17" s="201"/>
      <c r="L17" s="201"/>
      <c r="M17" s="337" t="e">
        <f>VLOOKUP('2-Calc. Sheet'!I30,Sheet2!A16:L46,2,FALSE)-(IF('2-Calc. Sheet'!O40="0%","0",'2-Calc. Sheet'!O40*(VLOOKUP('2-Calc. Sheet'!I30,Sheet2!A16:L46,2,FALSE))/100))</f>
        <v>#N/A</v>
      </c>
      <c r="N17" s="290" t="s">
        <v>872</v>
      </c>
      <c r="O17" s="201"/>
      <c r="P17" s="99">
        <v>0.25</v>
      </c>
      <c r="Q17" s="201"/>
      <c r="R17" s="201">
        <v>1.5</v>
      </c>
      <c r="T17" s="99" t="s">
        <v>385</v>
      </c>
      <c r="V17" s="99" t="s">
        <v>385</v>
      </c>
      <c r="Y17" s="202" t="s">
        <v>503</v>
      </c>
      <c r="Z17" s="99">
        <v>250</v>
      </c>
      <c r="AA17" s="99">
        <v>200</v>
      </c>
      <c r="AB17" s="99">
        <v>250</v>
      </c>
      <c r="AC17" s="99">
        <v>250</v>
      </c>
      <c r="AD17" s="99">
        <v>0.2</v>
      </c>
      <c r="AE17" s="99" t="s">
        <v>484</v>
      </c>
      <c r="AF17" s="99" t="s">
        <v>485</v>
      </c>
      <c r="AG17" s="99"/>
      <c r="AH17" s="99"/>
      <c r="AI17" s="99"/>
    </row>
    <row r="18" spans="1:35">
      <c r="A18" s="200"/>
      <c r="B18" s="201"/>
      <c r="C18" s="201"/>
      <c r="D18" s="201"/>
      <c r="E18" s="337"/>
      <c r="F18" s="201" t="e">
        <f t="shared" si="0"/>
        <v>#N/A</v>
      </c>
      <c r="G18" s="201"/>
      <c r="H18" s="201" t="e">
        <f t="shared" si="1"/>
        <v>#N/A</v>
      </c>
      <c r="I18" s="201"/>
      <c r="J18" s="201"/>
      <c r="K18" s="201"/>
      <c r="L18" s="201"/>
      <c r="M18" s="337" t="e">
        <f>VLOOKUP('2-Calc. Sheet'!I31,Sheet2!A17:L47,2,FALSE)-(IF('2-Calc. Sheet'!O41="0%","0",'2-Calc. Sheet'!O41*(VLOOKUP('2-Calc. Sheet'!I31,Sheet2!A17:L47,2,FALSE))/100))</f>
        <v>#N/A</v>
      </c>
      <c r="N18" s="290" t="s">
        <v>874</v>
      </c>
      <c r="O18" s="201"/>
      <c r="P18" s="336">
        <v>0.5</v>
      </c>
      <c r="Q18" s="201"/>
      <c r="R18" s="201">
        <v>1.5</v>
      </c>
      <c r="T18" s="99" t="s">
        <v>504</v>
      </c>
      <c r="V18" s="99" t="s">
        <v>505</v>
      </c>
      <c r="Y18" s="202" t="s">
        <v>506</v>
      </c>
      <c r="Z18" s="99">
        <v>250</v>
      </c>
      <c r="AA18" s="99">
        <v>200</v>
      </c>
      <c r="AB18" s="99">
        <v>250</v>
      </c>
      <c r="AC18" s="99">
        <v>250</v>
      </c>
      <c r="AD18" s="99">
        <v>0.2</v>
      </c>
      <c r="AE18" s="99" t="s">
        <v>484</v>
      </c>
      <c r="AF18" s="99" t="s">
        <v>485</v>
      </c>
      <c r="AG18" s="99"/>
      <c r="AH18" s="99"/>
      <c r="AI18" s="99"/>
    </row>
    <row r="19" spans="1:35">
      <c r="A19" s="200"/>
      <c r="B19" s="201"/>
      <c r="C19" s="201"/>
      <c r="D19" s="201"/>
      <c r="E19" s="337"/>
      <c r="F19" s="201" t="e">
        <f t="shared" si="0"/>
        <v>#N/A</v>
      </c>
      <c r="G19" s="201"/>
      <c r="H19" s="201" t="e">
        <f t="shared" si="1"/>
        <v>#N/A</v>
      </c>
      <c r="I19" s="201"/>
      <c r="J19" s="201"/>
      <c r="K19" s="201"/>
      <c r="L19" s="201"/>
      <c r="M19" s="337" t="e">
        <f>VLOOKUP('2-Calc. Sheet'!I32,Sheet2!A18:L48,2,FALSE)-(IF('2-Calc. Sheet'!O42="0%","0",'2-Calc. Sheet'!O42*(VLOOKUP('2-Calc. Sheet'!I32,Sheet2!A18:L48,2,FALSE))/100))</f>
        <v>#N/A</v>
      </c>
      <c r="N19" s="99" t="s">
        <v>876</v>
      </c>
      <c r="O19" s="201"/>
      <c r="P19" s="336">
        <v>0.5</v>
      </c>
      <c r="Q19" s="201"/>
      <c r="R19" s="201">
        <v>1.5</v>
      </c>
      <c r="T19" s="99" t="s">
        <v>508</v>
      </c>
      <c r="V19" s="99" t="s">
        <v>504</v>
      </c>
      <c r="Y19" s="202" t="s">
        <v>509</v>
      </c>
      <c r="Z19" s="99">
        <v>250</v>
      </c>
      <c r="AA19" s="99">
        <v>200</v>
      </c>
      <c r="AB19" s="99">
        <v>250</v>
      </c>
      <c r="AC19" s="99">
        <v>250</v>
      </c>
      <c r="AD19" s="99">
        <v>0.2</v>
      </c>
      <c r="AE19" s="99" t="s">
        <v>484</v>
      </c>
      <c r="AF19" s="99" t="s">
        <v>485</v>
      </c>
      <c r="AG19" s="99"/>
      <c r="AH19" s="99"/>
      <c r="AI19" s="99"/>
    </row>
    <row r="20" spans="1:35">
      <c r="A20" s="200"/>
      <c r="B20" s="201"/>
      <c r="C20" s="201"/>
      <c r="D20" s="201"/>
      <c r="E20" s="337"/>
      <c r="F20" s="201" t="e">
        <f t="shared" si="0"/>
        <v>#N/A</v>
      </c>
      <c r="G20" s="201"/>
      <c r="H20" s="201" t="e">
        <f t="shared" si="1"/>
        <v>#N/A</v>
      </c>
      <c r="I20" s="201"/>
      <c r="J20" s="201"/>
      <c r="K20" s="201"/>
      <c r="L20" s="201"/>
      <c r="M20" s="337" t="e">
        <f>VLOOKUP('2-Calc. Sheet'!I33,Sheet2!A19:L49,2,FALSE)-(IF('2-Calc. Sheet'!O43="0%","0",'2-Calc. Sheet'!O43*(VLOOKUP('2-Calc. Sheet'!I33,Sheet2!A19:L49,2,FALSE))/100))</f>
        <v>#N/A</v>
      </c>
      <c r="N20" s="99" t="s">
        <v>878</v>
      </c>
      <c r="O20" s="201"/>
      <c r="P20" s="99">
        <v>0.5</v>
      </c>
      <c r="Q20" s="201"/>
      <c r="R20" s="201">
        <v>2</v>
      </c>
      <c r="T20" s="99" t="s">
        <v>511</v>
      </c>
      <c r="V20" s="99" t="s">
        <v>508</v>
      </c>
      <c r="Y20" s="202" t="s">
        <v>512</v>
      </c>
      <c r="Z20" s="99">
        <v>250</v>
      </c>
      <c r="AA20" s="99">
        <v>200</v>
      </c>
      <c r="AB20" s="99">
        <v>250</v>
      </c>
      <c r="AC20" s="99">
        <v>250</v>
      </c>
      <c r="AD20" s="99">
        <v>0.2</v>
      </c>
      <c r="AE20" s="99" t="s">
        <v>484</v>
      </c>
      <c r="AF20" s="99" t="s">
        <v>485</v>
      </c>
      <c r="AG20" s="99"/>
      <c r="AH20" s="99"/>
      <c r="AI20" s="99"/>
    </row>
    <row r="21" spans="1:35">
      <c r="A21" s="200" t="str">
        <f>IF('2-Calc. Sheet'!I15&gt;=426,IF('2-Calc. Sheet'!I15&lt;=625,'2-Calc. Sheet'!I15," ")," ")</f>
        <v xml:space="preserve"> </v>
      </c>
      <c r="B21" s="201">
        <v>11</v>
      </c>
      <c r="C21" s="201">
        <v>9</v>
      </c>
      <c r="D21" s="203">
        <v>14</v>
      </c>
      <c r="E21" s="201"/>
      <c r="F21" s="203" t="e">
        <f t="shared" si="0"/>
        <v>#N/A</v>
      </c>
      <c r="G21" s="203">
        <v>0</v>
      </c>
      <c r="H21" s="203" t="e">
        <f t="shared" si="1"/>
        <v>#N/A</v>
      </c>
      <c r="I21" s="203">
        <v>-3</v>
      </c>
      <c r="J21" s="201">
        <v>0</v>
      </c>
      <c r="K21" s="201">
        <v>3</v>
      </c>
      <c r="L21" s="201">
        <v>7</v>
      </c>
      <c r="N21" s="290"/>
      <c r="P21" s="336"/>
      <c r="Q21" s="99" t="s">
        <v>439</v>
      </c>
      <c r="R21" s="99">
        <v>1</v>
      </c>
      <c r="T21" s="99" t="s">
        <v>60</v>
      </c>
      <c r="V21" s="99" t="s">
        <v>60</v>
      </c>
      <c r="Y21" s="202" t="s">
        <v>514</v>
      </c>
      <c r="Z21" s="99">
        <v>250</v>
      </c>
      <c r="AA21" s="99">
        <v>200</v>
      </c>
      <c r="AB21" s="99">
        <v>250</v>
      </c>
      <c r="AC21" s="99">
        <v>250</v>
      </c>
      <c r="AD21" s="99">
        <v>0.2</v>
      </c>
      <c r="AE21" s="99" t="s">
        <v>484</v>
      </c>
      <c r="AF21" s="99" t="s">
        <v>485</v>
      </c>
      <c r="AG21" s="99"/>
      <c r="AH21" s="99"/>
      <c r="AI21" s="99"/>
    </row>
    <row r="22" spans="1:35">
      <c r="A22" s="200" t="str">
        <f>IF('2-Calc. Sheet'!I15&gt;=626,IF('2-Calc. Sheet'!I15&lt;=875,'2-Calc. Sheet'!I15," ")," ")</f>
        <v xml:space="preserve"> </v>
      </c>
      <c r="B22" s="201">
        <v>12</v>
      </c>
      <c r="C22" s="201">
        <v>10</v>
      </c>
      <c r="D22" s="201">
        <v>15</v>
      </c>
      <c r="E22" s="201"/>
      <c r="F22" s="203" t="e">
        <f t="shared" si="0"/>
        <v>#N/A</v>
      </c>
      <c r="G22" s="203">
        <v>0</v>
      </c>
      <c r="H22" s="203" t="e">
        <f t="shared" si="1"/>
        <v>#N/A</v>
      </c>
      <c r="I22" s="203">
        <v>-3.5</v>
      </c>
      <c r="J22" s="201">
        <v>0</v>
      </c>
      <c r="K22" s="201">
        <v>3</v>
      </c>
      <c r="L22" s="201">
        <v>7</v>
      </c>
      <c r="N22" s="290"/>
      <c r="P22" s="336"/>
      <c r="Q22" s="99" t="s">
        <v>507</v>
      </c>
      <c r="R22" s="99">
        <v>2</v>
      </c>
      <c r="T22" s="99" t="s">
        <v>206</v>
      </c>
      <c r="V22" s="99" t="s">
        <v>511</v>
      </c>
      <c r="Y22" s="202" t="s">
        <v>516</v>
      </c>
      <c r="Z22" s="99">
        <v>250</v>
      </c>
      <c r="AA22" s="99">
        <v>200</v>
      </c>
      <c r="AB22" s="99">
        <v>250</v>
      </c>
      <c r="AC22" s="99">
        <v>250</v>
      </c>
      <c r="AD22" s="99">
        <v>0.2</v>
      </c>
      <c r="AE22" s="99" t="s">
        <v>484</v>
      </c>
      <c r="AF22" s="99" t="s">
        <v>485</v>
      </c>
      <c r="AG22" s="99"/>
      <c r="AH22" s="99"/>
      <c r="AI22" s="99"/>
    </row>
    <row r="23" spans="1:35" ht="30">
      <c r="A23" s="200" t="str">
        <f>IF('2-Calc. Sheet'!I15&gt;=876,IF('2-Calc. Sheet'!I15&lt;=1175,'2-Calc. Sheet'!I15," ")," ")</f>
        <v xml:space="preserve"> </v>
      </c>
      <c r="B23" s="201">
        <v>13</v>
      </c>
      <c r="C23" s="201">
        <v>11</v>
      </c>
      <c r="D23" s="201">
        <v>16</v>
      </c>
      <c r="E23" s="201"/>
      <c r="F23" s="203" t="e">
        <f t="shared" si="0"/>
        <v>#N/A</v>
      </c>
      <c r="G23" s="203">
        <v>0</v>
      </c>
      <c r="H23" s="203" t="e">
        <f t="shared" si="1"/>
        <v>#N/A</v>
      </c>
      <c r="I23" s="203">
        <v>-4</v>
      </c>
      <c r="J23" s="201">
        <v>0</v>
      </c>
      <c r="K23" s="201">
        <v>4</v>
      </c>
      <c r="L23" s="201">
        <v>8</v>
      </c>
      <c r="N23" s="290"/>
      <c r="P23" s="336"/>
      <c r="Q23" s="99" t="s">
        <v>510</v>
      </c>
      <c r="R23" s="99">
        <v>3</v>
      </c>
      <c r="V23" s="99" t="s">
        <v>206</v>
      </c>
      <c r="Y23" s="202" t="s">
        <v>519</v>
      </c>
      <c r="Z23" s="99">
        <v>250</v>
      </c>
      <c r="AA23" s="99">
        <v>200</v>
      </c>
      <c r="AB23" s="99">
        <v>250</v>
      </c>
      <c r="AC23" s="99">
        <v>250</v>
      </c>
      <c r="AD23" s="99">
        <v>0.2</v>
      </c>
      <c r="AE23" s="99" t="s">
        <v>484</v>
      </c>
      <c r="AF23" s="99" t="s">
        <v>485</v>
      </c>
      <c r="AG23" s="99"/>
      <c r="AH23" s="99"/>
      <c r="AI23" s="99"/>
    </row>
    <row r="24" spans="1:35">
      <c r="A24" s="200" t="str">
        <f>IF('2-Calc. Sheet'!I15&gt;=1176,IF('2-Calc. Sheet'!I15&lt;=1550,'2-Calc. Sheet'!I15," ")," ")</f>
        <v xml:space="preserve"> </v>
      </c>
      <c r="B24" s="201">
        <v>14</v>
      </c>
      <c r="C24" s="201">
        <v>12</v>
      </c>
      <c r="D24" s="201">
        <v>17</v>
      </c>
      <c r="E24" s="201"/>
      <c r="F24" s="203" t="e">
        <f t="shared" si="0"/>
        <v>#N/A</v>
      </c>
      <c r="G24" s="203">
        <v>0</v>
      </c>
      <c r="H24" s="203" t="e">
        <f t="shared" si="1"/>
        <v>#N/A</v>
      </c>
      <c r="I24" s="203">
        <v>-4.5</v>
      </c>
      <c r="J24" s="201">
        <v>0</v>
      </c>
      <c r="K24" s="201">
        <v>4</v>
      </c>
      <c r="L24" s="201">
        <v>8</v>
      </c>
      <c r="N24" s="290"/>
      <c r="P24" s="336"/>
      <c r="Q24" s="99" t="s">
        <v>513</v>
      </c>
      <c r="R24" s="99">
        <v>4</v>
      </c>
      <c r="Y24" s="202" t="s">
        <v>521</v>
      </c>
      <c r="Z24" s="99">
        <v>250</v>
      </c>
      <c r="AA24" s="99">
        <v>200</v>
      </c>
      <c r="AB24" s="99">
        <v>250</v>
      </c>
      <c r="AC24" s="99">
        <v>250</v>
      </c>
      <c r="AD24" s="99">
        <v>0.2</v>
      </c>
      <c r="AE24" s="99" t="s">
        <v>484</v>
      </c>
      <c r="AF24" s="99" t="s">
        <v>485</v>
      </c>
      <c r="AG24" s="99"/>
      <c r="AH24" s="99"/>
      <c r="AI24" s="99"/>
    </row>
    <row r="25" spans="1:35">
      <c r="A25" s="200" t="str">
        <f>IF('2-Calc. Sheet'!I15&gt;=1551,IF('2-Calc. Sheet'!I15&lt;=2025,'2-Calc. Sheet'!I15," ")," ")</f>
        <v xml:space="preserve"> </v>
      </c>
      <c r="B25" s="201">
        <v>15</v>
      </c>
      <c r="C25" s="201">
        <v>12</v>
      </c>
      <c r="D25" s="201">
        <v>18</v>
      </c>
      <c r="E25" s="201"/>
      <c r="F25" s="203" t="e">
        <f t="shared" si="0"/>
        <v>#N/A</v>
      </c>
      <c r="G25" s="203">
        <v>0</v>
      </c>
      <c r="H25" s="203" t="e">
        <f t="shared" si="1"/>
        <v>#N/A</v>
      </c>
      <c r="I25" s="203">
        <v>-4</v>
      </c>
      <c r="J25" s="201">
        <v>0</v>
      </c>
      <c r="K25" s="201">
        <v>5</v>
      </c>
      <c r="L25" s="201">
        <v>9</v>
      </c>
      <c r="N25" s="290"/>
      <c r="P25" s="336"/>
      <c r="Q25" s="99" t="s">
        <v>515</v>
      </c>
      <c r="R25" s="99">
        <v>5</v>
      </c>
      <c r="U25" s="99" t="s">
        <v>373</v>
      </c>
      <c r="V25" s="99" t="s">
        <v>501</v>
      </c>
      <c r="Y25" s="202" t="s">
        <v>523</v>
      </c>
      <c r="Z25" s="99">
        <v>250</v>
      </c>
      <c r="AA25" s="99">
        <v>200</v>
      </c>
      <c r="AB25" s="99">
        <v>250</v>
      </c>
      <c r="AC25" s="99">
        <v>250</v>
      </c>
      <c r="AD25" s="99">
        <v>0.2</v>
      </c>
      <c r="AE25" s="99" t="s">
        <v>484</v>
      </c>
      <c r="AF25" s="99" t="s">
        <v>485</v>
      </c>
      <c r="AG25" s="99"/>
      <c r="AH25" s="99"/>
      <c r="AI25" s="99"/>
    </row>
    <row r="26" spans="1:35">
      <c r="A26" s="200" t="str">
        <f>IF('2-Calc. Sheet'!I15&gt;=2026,IF('2-Calc. Sheet'!I15&lt;=2675,'2-Calc. Sheet'!I15," ")," ")</f>
        <v xml:space="preserve"> </v>
      </c>
      <c r="B26" s="201">
        <v>16</v>
      </c>
      <c r="C26" s="201">
        <v>13</v>
      </c>
      <c r="D26" s="201">
        <v>19</v>
      </c>
      <c r="E26" s="201"/>
      <c r="F26" s="203" t="e">
        <f t="shared" si="0"/>
        <v>#N/A</v>
      </c>
      <c r="G26" s="203">
        <v>0</v>
      </c>
      <c r="H26" s="203" t="e">
        <f t="shared" si="1"/>
        <v>#N/A</v>
      </c>
      <c r="I26" s="203">
        <v>-4.5</v>
      </c>
      <c r="J26" s="201">
        <v>0</v>
      </c>
      <c r="K26" s="201">
        <v>5</v>
      </c>
      <c r="L26" s="201">
        <v>10</v>
      </c>
      <c r="N26" s="290"/>
      <c r="P26" s="336"/>
      <c r="Q26" s="99" t="s">
        <v>518</v>
      </c>
      <c r="R26" s="99">
        <v>6</v>
      </c>
      <c r="U26" s="99" t="s">
        <v>525</v>
      </c>
      <c r="V26" s="99" t="s">
        <v>364</v>
      </c>
      <c r="Y26" s="202" t="s">
        <v>526</v>
      </c>
      <c r="Z26" s="99">
        <v>250</v>
      </c>
      <c r="AA26" s="99">
        <v>200</v>
      </c>
      <c r="AB26" s="99">
        <v>250</v>
      </c>
      <c r="AC26" s="99">
        <v>250</v>
      </c>
      <c r="AD26" s="99">
        <v>0.2</v>
      </c>
      <c r="AE26" s="99" t="s">
        <v>484</v>
      </c>
      <c r="AF26" s="99" t="s">
        <v>485</v>
      </c>
      <c r="AG26" s="99"/>
      <c r="AH26" s="99"/>
      <c r="AI26" s="99"/>
    </row>
    <row r="27" spans="1:35">
      <c r="A27" s="200" t="str">
        <f>IF('2-Calc. Sheet'!I15&gt;=2676,IF('2-Calc. Sheet'!I15&lt;=3450,'2-Calc. Sheet'!I15," ")," ")</f>
        <v xml:space="preserve"> </v>
      </c>
      <c r="B27" s="201">
        <v>17</v>
      </c>
      <c r="C27" s="201">
        <v>14</v>
      </c>
      <c r="D27" s="201">
        <v>20</v>
      </c>
      <c r="E27" s="201"/>
      <c r="F27" s="203" t="e">
        <f t="shared" si="0"/>
        <v>#N/A</v>
      </c>
      <c r="G27" s="203">
        <v>0</v>
      </c>
      <c r="H27" s="203" t="e">
        <f t="shared" si="1"/>
        <v>#N/A</v>
      </c>
      <c r="I27" s="203">
        <v>-5</v>
      </c>
      <c r="J27" s="201">
        <v>0</v>
      </c>
      <c r="K27" s="201">
        <v>5</v>
      </c>
      <c r="L27" s="201">
        <v>11</v>
      </c>
      <c r="N27" s="290"/>
      <c r="P27" s="336"/>
      <c r="Q27" s="99" t="s">
        <v>520</v>
      </c>
      <c r="R27" s="99">
        <v>7</v>
      </c>
      <c r="U27" s="99" t="s">
        <v>159</v>
      </c>
      <c r="V27" s="99" t="s">
        <v>527</v>
      </c>
      <c r="Y27" s="202" t="s">
        <v>528</v>
      </c>
      <c r="Z27" s="99">
        <v>250</v>
      </c>
      <c r="AA27" s="99">
        <v>200</v>
      </c>
      <c r="AB27" s="99">
        <v>250</v>
      </c>
      <c r="AC27" s="99">
        <v>250</v>
      </c>
      <c r="AD27" s="99">
        <v>0.2</v>
      </c>
      <c r="AE27" s="99" t="s">
        <v>484</v>
      </c>
      <c r="AF27" s="99" t="s">
        <v>485</v>
      </c>
      <c r="AG27" s="99"/>
      <c r="AH27" s="99"/>
      <c r="AI27" s="99"/>
    </row>
    <row r="28" spans="1:35">
      <c r="A28" s="200" t="str">
        <f>IF('2-Calc. Sheet'!I15&gt;=3451,IF('2-Calc. Sheet'!I15&lt;=4350,'2-Calc. Sheet'!I15," ")," ")</f>
        <v xml:space="preserve"> </v>
      </c>
      <c r="B28" s="201">
        <v>18</v>
      </c>
      <c r="C28" s="201">
        <v>15</v>
      </c>
      <c r="D28" s="201">
        <v>21</v>
      </c>
      <c r="E28" s="201"/>
      <c r="F28" s="203" t="e">
        <f t="shared" si="0"/>
        <v>#N/A</v>
      </c>
      <c r="G28" s="203">
        <v>0</v>
      </c>
      <c r="H28" s="203" t="e">
        <f t="shared" si="1"/>
        <v>#N/A</v>
      </c>
      <c r="I28" s="203">
        <v>-5</v>
      </c>
      <c r="J28" s="201">
        <v>0</v>
      </c>
      <c r="K28" s="201">
        <v>5</v>
      </c>
      <c r="L28" s="201">
        <v>12</v>
      </c>
      <c r="N28" s="290"/>
      <c r="P28" s="336"/>
      <c r="Q28" s="99" t="s">
        <v>522</v>
      </c>
      <c r="R28" s="99">
        <v>8</v>
      </c>
      <c r="U28" s="99" t="s">
        <v>529</v>
      </c>
      <c r="V28" s="99" t="s">
        <v>206</v>
      </c>
      <c r="Y28" s="202" t="s">
        <v>530</v>
      </c>
      <c r="Z28" s="99">
        <v>250</v>
      </c>
      <c r="AA28" s="99">
        <v>200</v>
      </c>
      <c r="AB28" s="99">
        <v>250</v>
      </c>
      <c r="AC28" s="99">
        <v>250</v>
      </c>
      <c r="AD28" s="99">
        <v>0.2</v>
      </c>
      <c r="AE28" s="99" t="s">
        <v>484</v>
      </c>
      <c r="AF28" s="99" t="s">
        <v>485</v>
      </c>
      <c r="AG28" s="99"/>
      <c r="AH28" s="99"/>
      <c r="AI28" s="99"/>
    </row>
    <row r="29" spans="1:35">
      <c r="A29" s="200" t="str">
        <f>IF('2-Calc. Sheet'!I15&gt;=4351,IF('2-Calc. Sheet'!I15&lt;=5450,'2-Calc. Sheet'!I15," ")," ")</f>
        <v xml:space="preserve"> </v>
      </c>
      <c r="B29" s="201">
        <v>19</v>
      </c>
      <c r="C29" s="201">
        <v>16</v>
      </c>
      <c r="D29" s="201">
        <v>22</v>
      </c>
      <c r="E29" s="201"/>
      <c r="F29" s="203" t="e">
        <f t="shared" si="0"/>
        <v>#N/A</v>
      </c>
      <c r="G29" s="203">
        <v>0</v>
      </c>
      <c r="H29" s="203" t="e">
        <f t="shared" si="1"/>
        <v>#N/A</v>
      </c>
      <c r="I29" s="203">
        <v>-5</v>
      </c>
      <c r="J29" s="201">
        <v>0</v>
      </c>
      <c r="K29" s="201">
        <v>5</v>
      </c>
      <c r="L29" s="201">
        <v>12</v>
      </c>
      <c r="N29" s="290"/>
      <c r="Q29" s="99" t="s">
        <v>524</v>
      </c>
      <c r="R29" s="99">
        <v>9</v>
      </c>
      <c r="U29" s="99" t="s">
        <v>1008</v>
      </c>
      <c r="Y29" s="202" t="s">
        <v>532</v>
      </c>
      <c r="Z29" s="99">
        <v>250</v>
      </c>
      <c r="AA29" s="99">
        <v>200</v>
      </c>
      <c r="AB29" s="99">
        <v>250</v>
      </c>
      <c r="AC29" s="99">
        <v>250</v>
      </c>
      <c r="AD29" s="99">
        <v>0.2</v>
      </c>
      <c r="AE29" s="99" t="s">
        <v>484</v>
      </c>
      <c r="AF29" s="99" t="s">
        <v>485</v>
      </c>
      <c r="AG29" s="99"/>
      <c r="AH29" s="99"/>
      <c r="AI29" s="99"/>
    </row>
    <row r="30" spans="1:35">
      <c r="A30" s="200" t="str">
        <f>IF('2-Calc. Sheet'!I15&gt;=5451,IF('2-Calc. Sheet'!I15&lt;=6800,'2-Calc. Sheet'!I15," ")," ")</f>
        <v xml:space="preserve"> </v>
      </c>
      <c r="B30" s="201">
        <v>20</v>
      </c>
      <c r="C30" s="201">
        <v>17</v>
      </c>
      <c r="D30" s="201">
        <v>23</v>
      </c>
      <c r="E30" s="201"/>
      <c r="F30" s="203" t="e">
        <f t="shared" si="0"/>
        <v>#N/A</v>
      </c>
      <c r="G30" s="203">
        <v>0</v>
      </c>
      <c r="H30" s="203" t="e">
        <f t="shared" si="1"/>
        <v>#N/A</v>
      </c>
      <c r="I30" s="203">
        <v>-5</v>
      </c>
      <c r="J30" s="201">
        <v>0</v>
      </c>
      <c r="K30" s="201">
        <v>6</v>
      </c>
      <c r="L30" s="201">
        <v>13</v>
      </c>
      <c r="N30" s="290"/>
      <c r="U30" s="99" t="s">
        <v>511</v>
      </c>
      <c r="Y30" s="202" t="s">
        <v>533</v>
      </c>
      <c r="Z30" s="99">
        <v>250</v>
      </c>
      <c r="AA30" s="99">
        <v>200</v>
      </c>
      <c r="AB30" s="99">
        <v>250</v>
      </c>
      <c r="AC30" s="99">
        <v>250</v>
      </c>
      <c r="AD30" s="99">
        <v>0.2</v>
      </c>
      <c r="AE30" s="99" t="s">
        <v>484</v>
      </c>
      <c r="AF30" s="99" t="s">
        <v>485</v>
      </c>
      <c r="AG30" s="99"/>
      <c r="AH30" s="99"/>
      <c r="AI30" s="99"/>
    </row>
    <row r="31" spans="1:35" ht="30">
      <c r="A31" s="200" t="str">
        <f>IF('2-Calc. Sheet'!I15&gt;=6801,IF('2-Calc. Sheet'!I15&lt;=8500,'2-Calc. Sheet'!I15," ")," ")</f>
        <v xml:space="preserve"> </v>
      </c>
      <c r="B31" s="204" t="s">
        <v>517</v>
      </c>
      <c r="C31" s="201">
        <v>19</v>
      </c>
      <c r="D31" s="201">
        <v>24</v>
      </c>
      <c r="E31" s="201"/>
      <c r="F31" s="204"/>
      <c r="G31" s="204"/>
      <c r="H31" s="204"/>
      <c r="I31" s="203">
        <v>-6</v>
      </c>
      <c r="J31" s="201">
        <v>0</v>
      </c>
      <c r="K31" s="201">
        <v>6</v>
      </c>
      <c r="L31" s="201">
        <v>13</v>
      </c>
      <c r="N31" s="290"/>
      <c r="O31" s="254"/>
      <c r="P31" s="290"/>
      <c r="U31" s="99" t="s">
        <v>531</v>
      </c>
      <c r="Y31" s="202" t="s">
        <v>534</v>
      </c>
      <c r="Z31" s="99">
        <v>250</v>
      </c>
      <c r="AA31" s="99">
        <v>200</v>
      </c>
      <c r="AB31" s="99">
        <v>250</v>
      </c>
      <c r="AC31" s="99">
        <v>250</v>
      </c>
      <c r="AD31" s="99">
        <v>0.2</v>
      </c>
      <c r="AE31" s="99" t="s">
        <v>484</v>
      </c>
      <c r="AF31" s="99" t="s">
        <v>485</v>
      </c>
      <c r="AG31" s="99"/>
      <c r="AH31" s="99"/>
      <c r="AI31" s="99"/>
    </row>
    <row r="32" spans="1:35">
      <c r="A32" s="200" t="str">
        <f>IF('2-Calc. Sheet'!I15&gt;=8501,IF('2-Calc. Sheet'!I15&lt;=10700,'2-Calc. Sheet'!I15," ")," ")</f>
        <v xml:space="preserve"> </v>
      </c>
      <c r="B32" s="204"/>
      <c r="C32" s="201">
        <v>20</v>
      </c>
      <c r="D32" s="201">
        <v>25</v>
      </c>
      <c r="E32" s="201"/>
      <c r="F32" s="204"/>
      <c r="G32" s="204"/>
      <c r="H32" s="204"/>
      <c r="I32" s="203">
        <v>-6</v>
      </c>
      <c r="J32" s="201">
        <v>0</v>
      </c>
      <c r="K32" s="201">
        <v>7</v>
      </c>
      <c r="L32" s="201">
        <v>14</v>
      </c>
      <c r="N32" s="290"/>
      <c r="O32" s="254"/>
      <c r="P32" s="290"/>
      <c r="Y32" s="202" t="s">
        <v>535</v>
      </c>
      <c r="Z32" s="99">
        <v>250</v>
      </c>
      <c r="AA32" s="99">
        <v>200</v>
      </c>
      <c r="AB32" s="99">
        <v>250</v>
      </c>
      <c r="AC32" s="99">
        <v>250</v>
      </c>
      <c r="AD32" s="99">
        <v>0.2</v>
      </c>
      <c r="AE32" s="99" t="s">
        <v>484</v>
      </c>
      <c r="AF32" s="99" t="s">
        <v>485</v>
      </c>
      <c r="AG32" s="99"/>
      <c r="AH32" s="99"/>
      <c r="AI32" s="99"/>
    </row>
    <row r="33" spans="1:35" ht="30">
      <c r="A33" s="200" t="str">
        <f>IF('2-Calc. Sheet'!I15&gt;10700,'2-Calc. Sheet'!I15," ")</f>
        <v xml:space="preserve"> </v>
      </c>
      <c r="B33" s="204"/>
      <c r="C33" s="204" t="s">
        <v>517</v>
      </c>
      <c r="D33" s="204" t="s">
        <v>517</v>
      </c>
      <c r="E33" s="204"/>
      <c r="F33" s="203"/>
      <c r="G33" s="203"/>
      <c r="H33" s="203"/>
      <c r="I33" s="203"/>
      <c r="N33" s="290"/>
      <c r="O33" s="254"/>
      <c r="P33" s="290"/>
      <c r="Y33" s="202" t="s">
        <v>536</v>
      </c>
      <c r="Z33" s="99">
        <v>250</v>
      </c>
      <c r="AA33" s="99">
        <v>200</v>
      </c>
      <c r="AB33" s="99">
        <v>250</v>
      </c>
      <c r="AC33" s="99">
        <v>250</v>
      </c>
      <c r="AD33" s="99">
        <v>0.2</v>
      </c>
      <c r="AE33" s="99" t="s">
        <v>484</v>
      </c>
      <c r="AF33" s="99" t="s">
        <v>485</v>
      </c>
      <c r="AG33" s="99"/>
      <c r="AH33" s="99"/>
      <c r="AI33" s="99"/>
    </row>
    <row r="34" spans="1:35" ht="30">
      <c r="A34" s="200"/>
      <c r="N34" s="290"/>
      <c r="O34" s="254"/>
      <c r="P34" s="290"/>
      <c r="T34" s="99" t="s">
        <v>537</v>
      </c>
      <c r="Y34" s="202" t="s">
        <v>538</v>
      </c>
      <c r="Z34" s="99">
        <v>250</v>
      </c>
      <c r="AA34" s="99">
        <v>200</v>
      </c>
      <c r="AB34" s="99">
        <v>250</v>
      </c>
      <c r="AC34" s="99">
        <v>250</v>
      </c>
      <c r="AD34" s="99">
        <v>0.2</v>
      </c>
      <c r="AE34" s="99" t="s">
        <v>484</v>
      </c>
      <c r="AF34" s="99" t="s">
        <v>485</v>
      </c>
      <c r="AG34" s="99"/>
      <c r="AH34" s="99"/>
      <c r="AI34" s="99"/>
    </row>
    <row r="35" spans="1:35">
      <c r="N35" s="290"/>
      <c r="O35" s="254"/>
      <c r="P35" s="290"/>
      <c r="T35" s="99" t="s">
        <v>539</v>
      </c>
      <c r="Y35" s="202" t="s">
        <v>540</v>
      </c>
      <c r="Z35" s="99">
        <v>250</v>
      </c>
      <c r="AA35" s="99">
        <v>200</v>
      </c>
      <c r="AB35" s="99">
        <v>250</v>
      </c>
      <c r="AC35" s="99">
        <v>250</v>
      </c>
      <c r="AD35" s="99">
        <v>0.2</v>
      </c>
      <c r="AE35" s="99" t="s">
        <v>484</v>
      </c>
      <c r="AF35" s="99" t="s">
        <v>485</v>
      </c>
      <c r="AG35" s="99"/>
      <c r="AH35" s="99"/>
      <c r="AI35" s="99"/>
    </row>
    <row r="36" spans="1:35">
      <c r="N36" s="290"/>
      <c r="O36" s="336"/>
      <c r="P36" s="290"/>
      <c r="T36" s="99" t="s">
        <v>541</v>
      </c>
      <c r="Y36" s="202" t="s">
        <v>542</v>
      </c>
      <c r="Z36" s="99">
        <v>250</v>
      </c>
      <c r="AA36" s="99">
        <v>200</v>
      </c>
      <c r="AB36" s="99">
        <v>250</v>
      </c>
      <c r="AC36" s="99">
        <v>250</v>
      </c>
      <c r="AD36" s="99">
        <v>0.2</v>
      </c>
      <c r="AE36" s="99" t="s">
        <v>484</v>
      </c>
      <c r="AF36" s="99" t="s">
        <v>485</v>
      </c>
      <c r="AG36" s="99"/>
      <c r="AH36" s="99"/>
      <c r="AI36" s="99"/>
    </row>
    <row r="37" spans="1:35">
      <c r="N37" s="290"/>
      <c r="O37" s="336"/>
      <c r="P37" s="290"/>
      <c r="R37" s="99" t="s">
        <v>385</v>
      </c>
      <c r="Y37" s="202" t="s">
        <v>544</v>
      </c>
      <c r="Z37" s="99">
        <v>250</v>
      </c>
      <c r="AA37" s="99">
        <v>200</v>
      </c>
      <c r="AB37" s="99">
        <v>250</v>
      </c>
      <c r="AC37" s="99">
        <v>250</v>
      </c>
      <c r="AD37" s="99">
        <v>0.2</v>
      </c>
      <c r="AE37" s="99" t="s">
        <v>484</v>
      </c>
      <c r="AF37" s="99" t="s">
        <v>485</v>
      </c>
      <c r="AG37" s="99"/>
      <c r="AH37" s="99"/>
      <c r="AI37" s="99"/>
    </row>
    <row r="38" spans="1:35">
      <c r="O38" s="336"/>
      <c r="P38" s="290"/>
      <c r="R38" s="99" t="s">
        <v>525</v>
      </c>
      <c r="Y38" s="202" t="s">
        <v>546</v>
      </c>
      <c r="Z38" s="99">
        <v>250</v>
      </c>
      <c r="AA38" s="99">
        <v>200</v>
      </c>
      <c r="AB38" s="99">
        <v>250</v>
      </c>
      <c r="AC38" s="99">
        <v>250</v>
      </c>
      <c r="AD38" s="99">
        <v>0.2</v>
      </c>
      <c r="AE38" s="99" t="s">
        <v>484</v>
      </c>
      <c r="AF38" s="99" t="s">
        <v>485</v>
      </c>
      <c r="AG38" s="99"/>
      <c r="AH38" s="99"/>
      <c r="AI38" s="99"/>
    </row>
    <row r="39" spans="1:35">
      <c r="O39" s="336"/>
      <c r="P39" s="290"/>
      <c r="R39" s="99" t="s">
        <v>159</v>
      </c>
      <c r="Y39" s="202" t="s">
        <v>547</v>
      </c>
      <c r="Z39" s="99">
        <v>250</v>
      </c>
      <c r="AA39" s="99">
        <v>200</v>
      </c>
      <c r="AB39" s="99">
        <v>250</v>
      </c>
      <c r="AC39" s="99">
        <v>250</v>
      </c>
      <c r="AD39" s="99">
        <v>0.2</v>
      </c>
      <c r="AE39" s="99" t="s">
        <v>484</v>
      </c>
      <c r="AF39" s="99" t="s">
        <v>485</v>
      </c>
      <c r="AG39" s="99"/>
      <c r="AH39" s="99"/>
      <c r="AI39" s="99"/>
    </row>
    <row r="40" spans="1:35">
      <c r="O40" s="336"/>
      <c r="P40" s="290"/>
      <c r="R40" s="99" t="s">
        <v>543</v>
      </c>
      <c r="Y40" s="202" t="s">
        <v>550</v>
      </c>
      <c r="Z40" s="99">
        <v>250</v>
      </c>
      <c r="AA40" s="99">
        <v>200</v>
      </c>
      <c r="AB40" s="99">
        <v>250</v>
      </c>
      <c r="AC40" s="99">
        <v>250</v>
      </c>
      <c r="AD40" s="99">
        <v>0.2</v>
      </c>
      <c r="AE40" s="99" t="s">
        <v>484</v>
      </c>
      <c r="AF40" s="99" t="s">
        <v>485</v>
      </c>
      <c r="AG40" s="99"/>
      <c r="AH40" s="99"/>
      <c r="AI40" s="99"/>
    </row>
    <row r="41" spans="1:35">
      <c r="O41" s="336"/>
      <c r="P41" s="290"/>
      <c r="R41" s="99" t="s">
        <v>545</v>
      </c>
      <c r="Y41" s="202" t="s">
        <v>552</v>
      </c>
      <c r="Z41" s="99">
        <v>250</v>
      </c>
      <c r="AA41" s="99">
        <v>200</v>
      </c>
      <c r="AB41" s="99">
        <v>250</v>
      </c>
      <c r="AC41" s="99">
        <v>250</v>
      </c>
      <c r="AD41" s="99">
        <v>0.2</v>
      </c>
      <c r="AE41" s="99" t="s">
        <v>484</v>
      </c>
      <c r="AF41" s="99" t="s">
        <v>485</v>
      </c>
      <c r="AG41" s="99"/>
      <c r="AH41" s="99"/>
      <c r="AI41" s="99"/>
    </row>
    <row r="42" spans="1:35">
      <c r="O42" s="336"/>
      <c r="P42" s="290"/>
      <c r="Y42" s="202" t="s">
        <v>555</v>
      </c>
      <c r="Z42" s="99">
        <v>250</v>
      </c>
      <c r="AA42" s="99">
        <v>200</v>
      </c>
      <c r="AB42" s="99">
        <v>250</v>
      </c>
      <c r="AC42" s="99">
        <v>250</v>
      </c>
      <c r="AD42" s="99">
        <v>0.2</v>
      </c>
      <c r="AE42" s="99" t="s">
        <v>484</v>
      </c>
      <c r="AF42" s="99" t="s">
        <v>485</v>
      </c>
      <c r="AG42" s="99"/>
      <c r="AH42" s="99"/>
      <c r="AI42" s="99"/>
    </row>
    <row r="43" spans="1:35">
      <c r="O43" s="336"/>
      <c r="P43" s="290"/>
      <c r="Q43" s="99" t="s">
        <v>1010</v>
      </c>
      <c r="R43" s="99" t="s">
        <v>1011</v>
      </c>
      <c r="Y43" s="202" t="s">
        <v>557</v>
      </c>
      <c r="Z43" s="99">
        <v>250</v>
      </c>
      <c r="AA43" s="99">
        <v>200</v>
      </c>
      <c r="AB43" s="99">
        <v>250</v>
      </c>
      <c r="AC43" s="99">
        <v>250</v>
      </c>
      <c r="AD43" s="99">
        <v>0.2</v>
      </c>
      <c r="AE43" s="99" t="s">
        <v>484</v>
      </c>
      <c r="AF43" s="99" t="s">
        <v>485</v>
      </c>
      <c r="AG43" s="99"/>
      <c r="AH43" s="99"/>
      <c r="AI43" s="99"/>
    </row>
    <row r="44" spans="1:35">
      <c r="P44" s="290"/>
      <c r="Q44" s="99" t="s">
        <v>453</v>
      </c>
      <c r="R44" s="99" t="s">
        <v>551</v>
      </c>
      <c r="Y44" s="202" t="s">
        <v>559</v>
      </c>
      <c r="Z44" s="99">
        <v>250</v>
      </c>
      <c r="AA44" s="99">
        <v>200</v>
      </c>
      <c r="AB44" s="99">
        <v>250</v>
      </c>
      <c r="AC44" s="99">
        <v>250</v>
      </c>
      <c r="AD44" s="99">
        <v>0.2</v>
      </c>
      <c r="AE44" s="99" t="s">
        <v>484</v>
      </c>
      <c r="AF44" s="99" t="s">
        <v>485</v>
      </c>
      <c r="AG44" s="99"/>
      <c r="AH44" s="99"/>
      <c r="AI44" s="99"/>
    </row>
    <row r="45" spans="1:35">
      <c r="L45" s="99" t="s">
        <v>385</v>
      </c>
      <c r="P45" s="290"/>
      <c r="Q45" s="99" t="s">
        <v>715</v>
      </c>
      <c r="R45" s="99" t="s">
        <v>716</v>
      </c>
      <c r="Y45" s="202" t="s">
        <v>562</v>
      </c>
      <c r="Z45" s="99">
        <v>250</v>
      </c>
      <c r="AA45" s="99">
        <v>200</v>
      </c>
      <c r="AB45" s="99">
        <v>250</v>
      </c>
      <c r="AC45" s="99">
        <v>250</v>
      </c>
      <c r="AD45" s="99">
        <v>0.2</v>
      </c>
      <c r="AE45" s="99" t="s">
        <v>484</v>
      </c>
      <c r="AF45" s="99" t="s">
        <v>485</v>
      </c>
      <c r="AG45" s="99"/>
      <c r="AH45" s="99"/>
      <c r="AI45" s="99"/>
    </row>
    <row r="46" spans="1:35">
      <c r="L46" s="99" t="s">
        <v>525</v>
      </c>
      <c r="P46" s="290"/>
      <c r="Q46" s="99" t="s">
        <v>462</v>
      </c>
      <c r="R46" s="99" t="s">
        <v>556</v>
      </c>
      <c r="Y46" s="202" t="s">
        <v>563</v>
      </c>
      <c r="Z46" s="99">
        <v>250</v>
      </c>
      <c r="AA46" s="99">
        <v>200</v>
      </c>
      <c r="AB46" s="99">
        <v>250</v>
      </c>
      <c r="AC46" s="99">
        <v>250</v>
      </c>
      <c r="AD46" s="99">
        <v>0.2</v>
      </c>
      <c r="AE46" s="99" t="s">
        <v>484</v>
      </c>
      <c r="AF46" s="99" t="s">
        <v>485</v>
      </c>
      <c r="AG46" s="99"/>
      <c r="AH46" s="99"/>
      <c r="AI46" s="99"/>
    </row>
    <row r="47" spans="1:35" ht="45">
      <c r="L47" s="99" t="s">
        <v>1009</v>
      </c>
      <c r="O47" s="336"/>
      <c r="P47" s="290"/>
      <c r="Q47" s="99" t="s">
        <v>463</v>
      </c>
      <c r="R47" s="99" t="s">
        <v>558</v>
      </c>
      <c r="Y47" s="202" t="s">
        <v>564</v>
      </c>
      <c r="Z47" s="99">
        <v>250</v>
      </c>
      <c r="AA47" s="99">
        <v>200</v>
      </c>
      <c r="AB47" s="99">
        <v>250</v>
      </c>
      <c r="AC47" s="99">
        <v>250</v>
      </c>
      <c r="AD47" s="99">
        <v>0.2</v>
      </c>
      <c r="AE47" s="99" t="s">
        <v>484</v>
      </c>
      <c r="AF47" s="99" t="s">
        <v>485</v>
      </c>
      <c r="AG47" s="99"/>
      <c r="AH47" s="99"/>
      <c r="AI47" s="99"/>
    </row>
    <row r="48" spans="1:35" ht="30">
      <c r="L48" s="99" t="s">
        <v>159</v>
      </c>
      <c r="O48" s="336"/>
      <c r="Q48" s="99" t="s">
        <v>560</v>
      </c>
      <c r="R48" s="99" t="s">
        <v>561</v>
      </c>
      <c r="Y48" s="202" t="s">
        <v>565</v>
      </c>
      <c r="Z48" s="99">
        <v>250</v>
      </c>
      <c r="AA48" s="99">
        <v>200</v>
      </c>
      <c r="AB48" s="99">
        <v>250</v>
      </c>
      <c r="AC48" s="99">
        <v>250</v>
      </c>
      <c r="AD48" s="99">
        <v>0.2</v>
      </c>
      <c r="AE48" s="99" t="s">
        <v>484</v>
      </c>
      <c r="AF48" s="99" t="s">
        <v>485</v>
      </c>
      <c r="AG48" s="99"/>
      <c r="AH48" s="99"/>
      <c r="AI48" s="99"/>
    </row>
    <row r="49" spans="1:35">
      <c r="L49" s="99" t="s">
        <v>1012</v>
      </c>
      <c r="Q49" s="99" t="s">
        <v>1013</v>
      </c>
      <c r="R49" s="99" t="s">
        <v>1014</v>
      </c>
      <c r="Y49" s="202" t="s">
        <v>566</v>
      </c>
      <c r="Z49" s="99">
        <v>250</v>
      </c>
      <c r="AA49" s="99">
        <v>200</v>
      </c>
      <c r="AB49" s="99">
        <v>250</v>
      </c>
      <c r="AC49" s="99">
        <v>250</v>
      </c>
      <c r="AD49" s="99">
        <v>0.2</v>
      </c>
      <c r="AE49" s="99" t="s">
        <v>484</v>
      </c>
      <c r="AF49" s="99" t="s">
        <v>485</v>
      </c>
      <c r="AG49" s="99"/>
      <c r="AH49" s="99"/>
      <c r="AI49" s="99"/>
    </row>
    <row r="50" spans="1:35">
      <c r="L50" s="99" t="s">
        <v>543</v>
      </c>
      <c r="Q50" s="99" t="s">
        <v>460</v>
      </c>
      <c r="R50" s="99" t="s">
        <v>1015</v>
      </c>
      <c r="Y50" s="202" t="s">
        <v>567</v>
      </c>
      <c r="Z50" s="99">
        <v>250</v>
      </c>
      <c r="AA50" s="99">
        <v>200</v>
      </c>
      <c r="AB50" s="99">
        <v>250</v>
      </c>
      <c r="AC50" s="99">
        <v>250</v>
      </c>
      <c r="AD50" s="99">
        <v>0.2</v>
      </c>
      <c r="AE50" s="99" t="s">
        <v>484</v>
      </c>
      <c r="AF50" s="99" t="s">
        <v>485</v>
      </c>
      <c r="AG50" s="99"/>
      <c r="AH50" s="99"/>
      <c r="AI50" s="99"/>
    </row>
    <row r="51" spans="1:35">
      <c r="L51" s="99" t="s">
        <v>545</v>
      </c>
      <c r="Y51" s="202" t="s">
        <v>568</v>
      </c>
      <c r="Z51" s="99">
        <v>250</v>
      </c>
      <c r="AA51" s="99">
        <v>200</v>
      </c>
      <c r="AB51" s="99">
        <v>250</v>
      </c>
      <c r="AC51" s="99">
        <v>250</v>
      </c>
      <c r="AD51" s="99">
        <v>0.2</v>
      </c>
      <c r="AE51" s="99" t="s">
        <v>484</v>
      </c>
      <c r="AF51" s="99" t="s">
        <v>485</v>
      </c>
      <c r="AG51" s="99"/>
      <c r="AH51" s="99"/>
      <c r="AI51" s="99"/>
    </row>
    <row r="52" spans="1:35">
      <c r="Y52" s="202" t="s">
        <v>569</v>
      </c>
      <c r="Z52" s="99">
        <v>250</v>
      </c>
      <c r="AA52" s="99">
        <v>200</v>
      </c>
      <c r="AB52" s="99">
        <v>250</v>
      </c>
      <c r="AC52" s="99">
        <v>250</v>
      </c>
      <c r="AD52" s="99">
        <v>0.2</v>
      </c>
      <c r="AE52" s="99" t="s">
        <v>484</v>
      </c>
      <c r="AF52" s="99" t="s">
        <v>485</v>
      </c>
      <c r="AG52" s="99"/>
      <c r="AH52" s="99"/>
      <c r="AI52" s="99"/>
    </row>
    <row r="53" spans="1:35">
      <c r="Y53" s="202" t="s">
        <v>570</v>
      </c>
      <c r="Z53" s="99">
        <v>250</v>
      </c>
      <c r="AA53" s="99">
        <v>200</v>
      </c>
      <c r="AB53" s="99">
        <v>250</v>
      </c>
      <c r="AC53" s="99">
        <v>250</v>
      </c>
      <c r="AD53" s="99">
        <v>0.2</v>
      </c>
      <c r="AE53" s="99" t="s">
        <v>484</v>
      </c>
      <c r="AF53" s="99" t="s">
        <v>485</v>
      </c>
      <c r="AG53" s="99"/>
      <c r="AH53" s="99"/>
      <c r="AI53" s="99"/>
    </row>
    <row r="54" spans="1:35">
      <c r="Y54" s="202" t="s">
        <v>14</v>
      </c>
      <c r="Z54" s="341">
        <v>600</v>
      </c>
      <c r="AA54" s="341">
        <v>200</v>
      </c>
      <c r="AB54" s="99">
        <v>500</v>
      </c>
      <c r="AC54" s="99">
        <v>500</v>
      </c>
      <c r="AD54" s="342">
        <v>0.2</v>
      </c>
      <c r="AE54" s="99" t="s">
        <v>571</v>
      </c>
      <c r="AF54" s="99" t="s">
        <v>485</v>
      </c>
      <c r="AG54" s="99"/>
      <c r="AH54" s="99"/>
      <c r="AI54" s="99"/>
    </row>
    <row r="55" spans="1:35">
      <c r="A55" s="99">
        <f>'5-ATJIF-02'!C13</f>
        <v>0</v>
      </c>
      <c r="Y55" s="202" t="s">
        <v>572</v>
      </c>
      <c r="Z55" s="99">
        <v>250</v>
      </c>
      <c r="AA55" s="99">
        <v>200</v>
      </c>
      <c r="AB55" s="99">
        <v>250</v>
      </c>
      <c r="AC55" s="99">
        <v>250</v>
      </c>
      <c r="AD55" s="99">
        <v>0.2</v>
      </c>
      <c r="AE55" s="99" t="s">
        <v>484</v>
      </c>
      <c r="AF55" s="99" t="s">
        <v>485</v>
      </c>
      <c r="AG55" s="99"/>
      <c r="AH55" s="99"/>
      <c r="AI55" s="99"/>
    </row>
    <row r="56" spans="1:35">
      <c r="A56" s="99" t="e">
        <f>#REF!</f>
        <v>#REF!</v>
      </c>
      <c r="H56" s="99" t="str">
        <f>'2-Calc. Sheet'!M34</f>
        <v>QMS</v>
      </c>
      <c r="J56" s="99" t="str">
        <f>'2-Calc. Sheet'!N34</f>
        <v>N/A</v>
      </c>
      <c r="K56" s="99" t="str">
        <f>'2-Calc. Sheet'!O34</f>
        <v>N/A</v>
      </c>
      <c r="Y56" s="202" t="s">
        <v>573</v>
      </c>
      <c r="Z56" s="99">
        <v>250</v>
      </c>
      <c r="AA56" s="99">
        <v>200</v>
      </c>
      <c r="AB56" s="99">
        <v>250</v>
      </c>
      <c r="AC56" s="99">
        <v>250</v>
      </c>
      <c r="AD56" s="99">
        <v>0.2</v>
      </c>
      <c r="AE56" s="99" t="s">
        <v>484</v>
      </c>
      <c r="AF56" s="99" t="s">
        <v>485</v>
      </c>
      <c r="AG56" s="99"/>
      <c r="AH56" s="99"/>
      <c r="AI56" s="99"/>
    </row>
    <row r="57" spans="1:35">
      <c r="A57" s="99" t="e">
        <f>#REF!</f>
        <v>#REF!</v>
      </c>
      <c r="Y57" s="202" t="s">
        <v>574</v>
      </c>
      <c r="Z57" s="99">
        <v>250</v>
      </c>
      <c r="AA57" s="99">
        <v>200</v>
      </c>
      <c r="AB57" s="99">
        <v>250</v>
      </c>
      <c r="AC57" s="99">
        <v>250</v>
      </c>
      <c r="AD57" s="99">
        <v>0.2</v>
      </c>
      <c r="AE57" s="99" t="s">
        <v>484</v>
      </c>
      <c r="AF57" s="99" t="s">
        <v>485</v>
      </c>
      <c r="AG57" s="99"/>
      <c r="AH57" s="99"/>
      <c r="AI57" s="99"/>
    </row>
    <row r="58" spans="1:35">
      <c r="Y58" s="202" t="s">
        <v>575</v>
      </c>
      <c r="Z58" s="99">
        <v>250</v>
      </c>
      <c r="AA58" s="99">
        <v>200</v>
      </c>
      <c r="AB58" s="99">
        <v>250</v>
      </c>
      <c r="AC58" s="99">
        <v>250</v>
      </c>
      <c r="AD58" s="99">
        <v>0.2</v>
      </c>
      <c r="AE58" s="99" t="s">
        <v>484</v>
      </c>
      <c r="AF58" s="99" t="s">
        <v>485</v>
      </c>
      <c r="AG58" s="99"/>
      <c r="AH58" s="99"/>
      <c r="AI58" s="99"/>
    </row>
    <row r="59" spans="1:35">
      <c r="Y59" s="202" t="s">
        <v>576</v>
      </c>
      <c r="Z59" s="99">
        <v>250</v>
      </c>
      <c r="AA59" s="99">
        <v>200</v>
      </c>
      <c r="AB59" s="99">
        <v>250</v>
      </c>
      <c r="AC59" s="99">
        <v>250</v>
      </c>
      <c r="AD59" s="99">
        <v>0.2</v>
      </c>
      <c r="AE59" s="99" t="s">
        <v>484</v>
      </c>
      <c r="AF59" s="99" t="s">
        <v>485</v>
      </c>
      <c r="AG59" s="99"/>
      <c r="AH59" s="99"/>
      <c r="AI59" s="99"/>
    </row>
    <row r="60" spans="1:35">
      <c r="Y60" s="202" t="s">
        <v>577</v>
      </c>
      <c r="Z60" s="99">
        <v>250</v>
      </c>
      <c r="AA60" s="99">
        <v>200</v>
      </c>
      <c r="AB60" s="99">
        <v>250</v>
      </c>
      <c r="AC60" s="99">
        <v>250</v>
      </c>
      <c r="AD60" s="99">
        <v>0.2</v>
      </c>
      <c r="AE60" s="99" t="s">
        <v>484</v>
      </c>
      <c r="AF60" s="99" t="s">
        <v>485</v>
      </c>
      <c r="AG60" s="99"/>
      <c r="AH60" s="99"/>
      <c r="AI60" s="99"/>
    </row>
    <row r="61" spans="1:35">
      <c r="Y61" s="202" t="s">
        <v>578</v>
      </c>
      <c r="Z61" s="99">
        <v>250</v>
      </c>
      <c r="AA61" s="99">
        <v>200</v>
      </c>
      <c r="AB61" s="99">
        <v>250</v>
      </c>
      <c r="AC61" s="99">
        <v>250</v>
      </c>
      <c r="AD61" s="99">
        <v>0.2</v>
      </c>
      <c r="AE61" s="99" t="s">
        <v>484</v>
      </c>
      <c r="AF61" s="99" t="s">
        <v>485</v>
      </c>
      <c r="AG61" s="99"/>
      <c r="AH61" s="99"/>
      <c r="AI61" s="99"/>
    </row>
    <row r="62" spans="1:35">
      <c r="Y62" s="202" t="s">
        <v>579</v>
      </c>
      <c r="Z62" s="99">
        <v>250</v>
      </c>
      <c r="AA62" s="99">
        <v>200</v>
      </c>
      <c r="AB62" s="99">
        <v>250</v>
      </c>
      <c r="AC62" s="99">
        <v>250</v>
      </c>
      <c r="AD62" s="99">
        <v>0.2</v>
      </c>
      <c r="AE62" s="99" t="s">
        <v>484</v>
      </c>
      <c r="AF62" s="99" t="s">
        <v>485</v>
      </c>
      <c r="AG62" s="99"/>
      <c r="AH62" s="99"/>
      <c r="AI62" s="99"/>
    </row>
    <row r="63" spans="1:35">
      <c r="Y63" s="202" t="s">
        <v>580</v>
      </c>
      <c r="Z63" s="99">
        <v>250</v>
      </c>
      <c r="AA63" s="99">
        <v>200</v>
      </c>
      <c r="AB63" s="99">
        <v>250</v>
      </c>
      <c r="AC63" s="99">
        <v>250</v>
      </c>
      <c r="AD63" s="99">
        <v>0.2</v>
      </c>
      <c r="AE63" s="99" t="s">
        <v>484</v>
      </c>
      <c r="AF63" s="99" t="s">
        <v>485</v>
      </c>
      <c r="AG63" s="99"/>
      <c r="AH63" s="99"/>
      <c r="AI63" s="99"/>
    </row>
    <row r="64" spans="1:35">
      <c r="Y64" s="202" t="s">
        <v>581</v>
      </c>
      <c r="Z64" s="99">
        <v>250</v>
      </c>
      <c r="AA64" s="99">
        <v>200</v>
      </c>
      <c r="AB64" s="99">
        <v>250</v>
      </c>
      <c r="AC64" s="99">
        <v>250</v>
      </c>
      <c r="AD64" s="99">
        <v>0.2</v>
      </c>
      <c r="AE64" s="99" t="s">
        <v>484</v>
      </c>
      <c r="AF64" s="99" t="s">
        <v>485</v>
      </c>
      <c r="AG64" s="99"/>
      <c r="AH64" s="99"/>
      <c r="AI64" s="99"/>
    </row>
    <row r="65" spans="25:35">
      <c r="Y65" s="202" t="s">
        <v>582</v>
      </c>
      <c r="Z65" s="99">
        <v>250</v>
      </c>
      <c r="AA65" s="99">
        <v>200</v>
      </c>
      <c r="AB65" s="99">
        <v>250</v>
      </c>
      <c r="AC65" s="99">
        <v>250</v>
      </c>
      <c r="AD65" s="99">
        <v>0.2</v>
      </c>
      <c r="AE65" s="99" t="s">
        <v>484</v>
      </c>
      <c r="AF65" s="99" t="s">
        <v>485</v>
      </c>
      <c r="AG65" s="99"/>
      <c r="AH65" s="99"/>
      <c r="AI65" s="99"/>
    </row>
    <row r="66" spans="25:35">
      <c r="Y66" s="202" t="s">
        <v>583</v>
      </c>
      <c r="Z66" s="99">
        <v>250</v>
      </c>
      <c r="AA66" s="99">
        <v>200</v>
      </c>
      <c r="AB66" s="99">
        <v>250</v>
      </c>
      <c r="AC66" s="99">
        <v>250</v>
      </c>
      <c r="AD66" s="99">
        <v>0.2</v>
      </c>
      <c r="AE66" s="99" t="s">
        <v>484</v>
      </c>
      <c r="AF66" s="99" t="s">
        <v>485</v>
      </c>
      <c r="AG66" s="99"/>
      <c r="AH66" s="99"/>
      <c r="AI66" s="99"/>
    </row>
    <row r="67" spans="25:35">
      <c r="Y67" s="202" t="s">
        <v>584</v>
      </c>
      <c r="Z67" s="99">
        <v>250</v>
      </c>
      <c r="AA67" s="99">
        <v>200</v>
      </c>
      <c r="AB67" s="99">
        <v>250</v>
      </c>
      <c r="AC67" s="99">
        <v>250</v>
      </c>
      <c r="AD67" s="99">
        <v>0.2</v>
      </c>
      <c r="AE67" s="99" t="s">
        <v>484</v>
      </c>
      <c r="AF67" s="99" t="s">
        <v>485</v>
      </c>
      <c r="AG67" s="99"/>
      <c r="AH67" s="99"/>
      <c r="AI67" s="99"/>
    </row>
    <row r="68" spans="25:35">
      <c r="Y68" s="202" t="s">
        <v>585</v>
      </c>
      <c r="Z68" s="99">
        <v>250</v>
      </c>
      <c r="AA68" s="99">
        <v>200</v>
      </c>
      <c r="AB68" s="99">
        <v>250</v>
      </c>
      <c r="AC68" s="99">
        <v>250</v>
      </c>
      <c r="AD68" s="99">
        <v>0.2</v>
      </c>
      <c r="AE68" s="99" t="s">
        <v>484</v>
      </c>
      <c r="AF68" s="99" t="s">
        <v>485</v>
      </c>
      <c r="AG68" s="99"/>
      <c r="AH68" s="99"/>
      <c r="AI68" s="99"/>
    </row>
    <row r="69" spans="25:35">
      <c r="Y69" s="202" t="s">
        <v>586</v>
      </c>
      <c r="Z69" s="99">
        <v>250</v>
      </c>
      <c r="AA69" s="99">
        <v>200</v>
      </c>
      <c r="AB69" s="99">
        <v>250</v>
      </c>
      <c r="AC69" s="99">
        <v>250</v>
      </c>
      <c r="AD69" s="99">
        <v>0.2</v>
      </c>
      <c r="AE69" s="99" t="s">
        <v>484</v>
      </c>
      <c r="AF69" s="99" t="s">
        <v>485</v>
      </c>
      <c r="AG69" s="99"/>
      <c r="AH69" s="99"/>
      <c r="AI69" s="99"/>
    </row>
    <row r="70" spans="25:35">
      <c r="Y70" s="202" t="s">
        <v>587</v>
      </c>
      <c r="Z70" s="99">
        <v>250</v>
      </c>
      <c r="AA70" s="99">
        <v>200</v>
      </c>
      <c r="AB70" s="99">
        <v>250</v>
      </c>
      <c r="AC70" s="99">
        <v>250</v>
      </c>
      <c r="AD70" s="99">
        <v>0.2</v>
      </c>
      <c r="AE70" s="99" t="s">
        <v>484</v>
      </c>
      <c r="AF70" s="99" t="s">
        <v>485</v>
      </c>
      <c r="AG70" s="99"/>
      <c r="AH70" s="99"/>
      <c r="AI70" s="99"/>
    </row>
    <row r="71" spans="25:35">
      <c r="Y71" s="202" t="s">
        <v>588</v>
      </c>
      <c r="Z71" s="99">
        <v>250</v>
      </c>
      <c r="AA71" s="99">
        <v>200</v>
      </c>
      <c r="AB71" s="99">
        <v>250</v>
      </c>
      <c r="AC71" s="99">
        <v>250</v>
      </c>
      <c r="AD71" s="99">
        <v>0.2</v>
      </c>
      <c r="AE71" s="99" t="s">
        <v>484</v>
      </c>
      <c r="AF71" s="99" t="s">
        <v>485</v>
      </c>
      <c r="AG71" s="99"/>
      <c r="AH71" s="99"/>
      <c r="AI71" s="99"/>
    </row>
    <row r="72" spans="25:35">
      <c r="Y72" s="202" t="s">
        <v>589</v>
      </c>
      <c r="Z72" s="99">
        <v>250</v>
      </c>
      <c r="AA72" s="99">
        <v>200</v>
      </c>
      <c r="AB72" s="99">
        <v>250</v>
      </c>
      <c r="AC72" s="99">
        <v>250</v>
      </c>
      <c r="AD72" s="99">
        <v>0.2</v>
      </c>
      <c r="AE72" s="99" t="s">
        <v>484</v>
      </c>
      <c r="AF72" s="99" t="s">
        <v>485</v>
      </c>
      <c r="AG72" s="99"/>
      <c r="AH72" s="99"/>
      <c r="AI72" s="99"/>
    </row>
    <row r="73" spans="25:35">
      <c r="Y73" s="202" t="s">
        <v>590</v>
      </c>
      <c r="Z73" s="99">
        <v>250</v>
      </c>
      <c r="AA73" s="99">
        <v>200</v>
      </c>
      <c r="AB73" s="99">
        <v>250</v>
      </c>
      <c r="AC73" s="99">
        <v>250</v>
      </c>
      <c r="AD73" s="99">
        <v>0.2</v>
      </c>
      <c r="AE73" s="99" t="s">
        <v>484</v>
      </c>
      <c r="AF73" s="99" t="s">
        <v>485</v>
      </c>
      <c r="AG73" s="99"/>
      <c r="AH73" s="99"/>
      <c r="AI73" s="99"/>
    </row>
    <row r="74" spans="25:35">
      <c r="Y74" s="202" t="s">
        <v>591</v>
      </c>
      <c r="Z74" s="99">
        <v>250</v>
      </c>
      <c r="AA74" s="99">
        <v>200</v>
      </c>
      <c r="AB74" s="99">
        <v>250</v>
      </c>
      <c r="AC74" s="99">
        <v>250</v>
      </c>
      <c r="AD74" s="99">
        <v>0.2</v>
      </c>
      <c r="AE74" s="99" t="s">
        <v>484</v>
      </c>
      <c r="AF74" s="99" t="s">
        <v>485</v>
      </c>
      <c r="AG74" s="99"/>
      <c r="AH74" s="99"/>
      <c r="AI74" s="99"/>
    </row>
    <row r="75" spans="25:35">
      <c r="Y75" s="202" t="s">
        <v>592</v>
      </c>
      <c r="Z75" s="99">
        <v>250</v>
      </c>
      <c r="AA75" s="99">
        <v>200</v>
      </c>
      <c r="AB75" s="99">
        <v>250</v>
      </c>
      <c r="AC75" s="99">
        <v>250</v>
      </c>
      <c r="AD75" s="99">
        <v>0.2</v>
      </c>
      <c r="AE75" s="99" t="s">
        <v>484</v>
      </c>
      <c r="AF75" s="99" t="s">
        <v>485</v>
      </c>
      <c r="AG75" s="99"/>
      <c r="AH75" s="99"/>
      <c r="AI75" s="99"/>
    </row>
    <row r="76" spans="25:35">
      <c r="Y76" s="202" t="s">
        <v>593</v>
      </c>
      <c r="Z76" s="99">
        <v>250</v>
      </c>
      <c r="AA76" s="99">
        <v>200</v>
      </c>
      <c r="AB76" s="99">
        <v>250</v>
      </c>
      <c r="AC76" s="99">
        <v>250</v>
      </c>
      <c r="AD76" s="99">
        <v>0.2</v>
      </c>
      <c r="AE76" s="99" t="s">
        <v>484</v>
      </c>
      <c r="AF76" s="99" t="s">
        <v>485</v>
      </c>
      <c r="AG76" s="99"/>
      <c r="AH76" s="99"/>
      <c r="AI76" s="99"/>
    </row>
    <row r="77" spans="25:35">
      <c r="Y77" s="202" t="s">
        <v>594</v>
      </c>
      <c r="Z77" s="99">
        <v>250</v>
      </c>
      <c r="AA77" s="99">
        <v>200</v>
      </c>
      <c r="AB77" s="99">
        <v>250</v>
      </c>
      <c r="AC77" s="99">
        <v>250</v>
      </c>
      <c r="AD77" s="99">
        <v>0.2</v>
      </c>
      <c r="AE77" s="99" t="s">
        <v>484</v>
      </c>
      <c r="AF77" s="99" t="s">
        <v>485</v>
      </c>
      <c r="AG77" s="99"/>
      <c r="AH77" s="99"/>
      <c r="AI77" s="99"/>
    </row>
    <row r="78" spans="25:35">
      <c r="Y78" s="202" t="s">
        <v>595</v>
      </c>
      <c r="Z78" s="99">
        <v>250</v>
      </c>
      <c r="AA78" s="99">
        <v>200</v>
      </c>
      <c r="AB78" s="99">
        <v>250</v>
      </c>
      <c r="AC78" s="99">
        <v>250</v>
      </c>
      <c r="AD78" s="99">
        <v>0.2</v>
      </c>
      <c r="AE78" s="99" t="s">
        <v>484</v>
      </c>
      <c r="AF78" s="99" t="s">
        <v>485</v>
      </c>
      <c r="AG78" s="99"/>
      <c r="AH78" s="99"/>
      <c r="AI78" s="99"/>
    </row>
    <row r="79" spans="25:35">
      <c r="Y79" s="202" t="s">
        <v>596</v>
      </c>
      <c r="Z79" s="99">
        <v>250</v>
      </c>
      <c r="AA79" s="99">
        <v>200</v>
      </c>
      <c r="AB79" s="99">
        <v>250</v>
      </c>
      <c r="AC79" s="99">
        <v>250</v>
      </c>
      <c r="AD79" s="99">
        <v>0.2</v>
      </c>
      <c r="AE79" s="99" t="s">
        <v>484</v>
      </c>
      <c r="AF79" s="99" t="s">
        <v>485</v>
      </c>
      <c r="AG79" s="99"/>
      <c r="AH79" s="99"/>
      <c r="AI79" s="99"/>
    </row>
    <row r="80" spans="25:35">
      <c r="Y80" s="202" t="s">
        <v>597</v>
      </c>
      <c r="Z80" s="99">
        <v>250</v>
      </c>
      <c r="AA80" s="99">
        <v>200</v>
      </c>
      <c r="AB80" s="99">
        <v>250</v>
      </c>
      <c r="AC80" s="99">
        <v>250</v>
      </c>
      <c r="AD80" s="99">
        <v>0.2</v>
      </c>
      <c r="AE80" s="99" t="s">
        <v>484</v>
      </c>
      <c r="AF80" s="99" t="s">
        <v>485</v>
      </c>
      <c r="AG80" s="99"/>
      <c r="AH80" s="99"/>
      <c r="AI80" s="99"/>
    </row>
    <row r="81" spans="25:35">
      <c r="Y81" s="202" t="s">
        <v>598</v>
      </c>
      <c r="Z81" s="99">
        <v>250</v>
      </c>
      <c r="AA81" s="99">
        <v>200</v>
      </c>
      <c r="AB81" s="99">
        <v>250</v>
      </c>
      <c r="AC81" s="99">
        <v>250</v>
      </c>
      <c r="AD81" s="99">
        <v>0.2</v>
      </c>
      <c r="AE81" s="99" t="s">
        <v>484</v>
      </c>
      <c r="AF81" s="99" t="s">
        <v>485</v>
      </c>
      <c r="AG81" s="99"/>
      <c r="AH81" s="99"/>
      <c r="AI81" s="99"/>
    </row>
    <row r="82" spans="25:35">
      <c r="Y82" s="202" t="s">
        <v>599</v>
      </c>
      <c r="Z82" s="99">
        <v>250</v>
      </c>
      <c r="AA82" s="99">
        <v>200</v>
      </c>
      <c r="AB82" s="99">
        <v>250</v>
      </c>
      <c r="AC82" s="99">
        <v>250</v>
      </c>
      <c r="AD82" s="99">
        <v>0.2</v>
      </c>
      <c r="AE82" s="99" t="s">
        <v>484</v>
      </c>
      <c r="AF82" s="99" t="s">
        <v>485</v>
      </c>
      <c r="AG82" s="99"/>
      <c r="AH82" s="99"/>
      <c r="AI82" s="99"/>
    </row>
    <row r="83" spans="25:35">
      <c r="Y83" s="202" t="s">
        <v>600</v>
      </c>
      <c r="Z83" s="99">
        <v>250</v>
      </c>
      <c r="AA83" s="99">
        <v>200</v>
      </c>
      <c r="AB83" s="99">
        <v>250</v>
      </c>
      <c r="AC83" s="99">
        <v>250</v>
      </c>
      <c r="AD83" s="99">
        <v>0.2</v>
      </c>
      <c r="AE83" s="99" t="s">
        <v>484</v>
      </c>
      <c r="AF83" s="99" t="s">
        <v>485</v>
      </c>
      <c r="AG83" s="99"/>
      <c r="AH83" s="99"/>
      <c r="AI83" s="99"/>
    </row>
    <row r="84" spans="25:35">
      <c r="Y84" s="202" t="s">
        <v>601</v>
      </c>
      <c r="Z84" s="99">
        <v>250</v>
      </c>
      <c r="AA84" s="99">
        <v>200</v>
      </c>
      <c r="AB84" s="99">
        <v>250</v>
      </c>
      <c r="AC84" s="99">
        <v>250</v>
      </c>
      <c r="AD84" s="99">
        <v>0.2</v>
      </c>
      <c r="AE84" s="99" t="s">
        <v>484</v>
      </c>
      <c r="AF84" s="99" t="s">
        <v>485</v>
      </c>
      <c r="AG84" s="99"/>
      <c r="AH84" s="99"/>
      <c r="AI84" s="99"/>
    </row>
    <row r="85" spans="25:35">
      <c r="Y85" s="202" t="s">
        <v>602</v>
      </c>
      <c r="Z85" s="99">
        <v>250</v>
      </c>
      <c r="AA85" s="99">
        <v>200</v>
      </c>
      <c r="AB85" s="99">
        <v>250</v>
      </c>
      <c r="AC85" s="99">
        <v>250</v>
      </c>
      <c r="AD85" s="99">
        <v>0.2</v>
      </c>
      <c r="AE85" s="99" t="s">
        <v>484</v>
      </c>
      <c r="AF85" s="99" t="s">
        <v>485</v>
      </c>
      <c r="AG85" s="99"/>
      <c r="AH85" s="99"/>
      <c r="AI85" s="99"/>
    </row>
    <row r="86" spans="25:35">
      <c r="Y86" s="202" t="s">
        <v>603</v>
      </c>
      <c r="Z86" s="99">
        <v>250</v>
      </c>
      <c r="AA86" s="99">
        <v>200</v>
      </c>
      <c r="AB86" s="99">
        <v>250</v>
      </c>
      <c r="AC86" s="99">
        <v>250</v>
      </c>
      <c r="AD86" s="99">
        <v>0.2</v>
      </c>
      <c r="AE86" s="99" t="s">
        <v>484</v>
      </c>
      <c r="AF86" s="99" t="s">
        <v>485</v>
      </c>
      <c r="AG86" s="99"/>
      <c r="AH86" s="99"/>
      <c r="AI86" s="99"/>
    </row>
    <row r="87" spans="25:35">
      <c r="Y87" s="202" t="s">
        <v>604</v>
      </c>
      <c r="Z87" s="99">
        <v>250</v>
      </c>
      <c r="AA87" s="99">
        <v>200</v>
      </c>
      <c r="AB87" s="99">
        <v>250</v>
      </c>
      <c r="AC87" s="99">
        <v>250</v>
      </c>
      <c r="AD87" s="99">
        <v>0.2</v>
      </c>
      <c r="AE87" s="99" t="s">
        <v>484</v>
      </c>
      <c r="AF87" s="99" t="s">
        <v>485</v>
      </c>
      <c r="AG87" s="99"/>
      <c r="AH87" s="99"/>
      <c r="AI87" s="99"/>
    </row>
    <row r="88" spans="25:35">
      <c r="Y88" s="202" t="s">
        <v>605</v>
      </c>
      <c r="Z88" s="99">
        <v>250</v>
      </c>
      <c r="AA88" s="99">
        <v>200</v>
      </c>
      <c r="AB88" s="99">
        <v>250</v>
      </c>
      <c r="AC88" s="99">
        <v>250</v>
      </c>
      <c r="AD88" s="99">
        <v>0.2</v>
      </c>
      <c r="AE88" s="99" t="s">
        <v>484</v>
      </c>
      <c r="AF88" s="99" t="s">
        <v>485</v>
      </c>
      <c r="AG88" s="99"/>
      <c r="AH88" s="99"/>
      <c r="AI88" s="99"/>
    </row>
    <row r="89" spans="25:35">
      <c r="Y89" s="202" t="s">
        <v>606</v>
      </c>
      <c r="Z89" s="99">
        <v>250</v>
      </c>
      <c r="AA89" s="99">
        <v>200</v>
      </c>
      <c r="AB89" s="99">
        <v>250</v>
      </c>
      <c r="AC89" s="99">
        <v>250</v>
      </c>
      <c r="AD89" s="99">
        <v>0.2</v>
      </c>
      <c r="AE89" s="99" t="s">
        <v>484</v>
      </c>
      <c r="AF89" s="99" t="s">
        <v>485</v>
      </c>
      <c r="AG89" s="99"/>
      <c r="AH89" s="99"/>
      <c r="AI89" s="99"/>
    </row>
    <row r="90" spans="25:35">
      <c r="Y90" s="202" t="s">
        <v>607</v>
      </c>
      <c r="Z90" s="99">
        <v>250</v>
      </c>
      <c r="AA90" s="99">
        <v>200</v>
      </c>
      <c r="AB90" s="99">
        <v>250</v>
      </c>
      <c r="AC90" s="99">
        <v>250</v>
      </c>
      <c r="AD90" s="99">
        <v>0.2</v>
      </c>
      <c r="AE90" s="99" t="s">
        <v>484</v>
      </c>
      <c r="AF90" s="99" t="s">
        <v>485</v>
      </c>
      <c r="AG90" s="99"/>
      <c r="AH90" s="99"/>
      <c r="AI90" s="99"/>
    </row>
    <row r="91" spans="25:35">
      <c r="Y91" s="202" t="s">
        <v>608</v>
      </c>
      <c r="Z91" s="99">
        <v>250</v>
      </c>
      <c r="AA91" s="99">
        <v>200</v>
      </c>
      <c r="AB91" s="99">
        <v>250</v>
      </c>
      <c r="AC91" s="99">
        <v>250</v>
      </c>
      <c r="AD91" s="99">
        <v>0.2</v>
      </c>
      <c r="AE91" s="99" t="s">
        <v>484</v>
      </c>
      <c r="AF91" s="99" t="s">
        <v>485</v>
      </c>
      <c r="AG91" s="99"/>
      <c r="AH91" s="99"/>
      <c r="AI91" s="99"/>
    </row>
    <row r="92" spans="25:35">
      <c r="Y92" s="202" t="s">
        <v>609</v>
      </c>
      <c r="Z92" s="99">
        <v>250</v>
      </c>
      <c r="AA92" s="99">
        <v>200</v>
      </c>
      <c r="AB92" s="99">
        <v>250</v>
      </c>
      <c r="AC92" s="99">
        <v>250</v>
      </c>
      <c r="AD92" s="99">
        <v>0.2</v>
      </c>
      <c r="AE92" s="99" t="s">
        <v>484</v>
      </c>
      <c r="AF92" s="99" t="s">
        <v>485</v>
      </c>
      <c r="AG92" s="99"/>
      <c r="AH92" s="99"/>
      <c r="AI92" s="99"/>
    </row>
    <row r="93" spans="25:35" ht="45">
      <c r="Y93" s="202" t="s">
        <v>610</v>
      </c>
      <c r="Z93" s="99">
        <v>250</v>
      </c>
      <c r="AA93" s="99">
        <v>200</v>
      </c>
      <c r="AB93" s="99">
        <v>250</v>
      </c>
      <c r="AC93" s="99">
        <v>250</v>
      </c>
      <c r="AD93" s="99">
        <v>0.2</v>
      </c>
      <c r="AE93" s="99" t="s">
        <v>484</v>
      </c>
      <c r="AF93" s="99" t="s">
        <v>485</v>
      </c>
      <c r="AG93" s="99"/>
      <c r="AH93" s="99"/>
      <c r="AI93" s="99"/>
    </row>
    <row r="94" spans="25:35">
      <c r="Y94" s="202" t="s">
        <v>611</v>
      </c>
      <c r="Z94" s="99">
        <v>250</v>
      </c>
      <c r="AA94" s="99">
        <v>200</v>
      </c>
      <c r="AB94" s="99">
        <v>250</v>
      </c>
      <c r="AC94" s="99">
        <v>250</v>
      </c>
      <c r="AD94" s="99">
        <v>0.2</v>
      </c>
      <c r="AE94" s="99" t="s">
        <v>484</v>
      </c>
      <c r="AF94" s="99" t="s">
        <v>485</v>
      </c>
      <c r="AG94" s="99"/>
      <c r="AH94" s="99"/>
      <c r="AI94" s="99"/>
    </row>
    <row r="95" spans="25:35">
      <c r="Y95" s="202" t="s">
        <v>612</v>
      </c>
      <c r="Z95" s="99">
        <v>250</v>
      </c>
      <c r="AA95" s="99">
        <v>200</v>
      </c>
      <c r="AB95" s="99">
        <v>250</v>
      </c>
      <c r="AC95" s="99">
        <v>250</v>
      </c>
      <c r="AD95" s="99">
        <v>0.2</v>
      </c>
      <c r="AE95" s="99" t="s">
        <v>484</v>
      </c>
      <c r="AF95" s="99" t="s">
        <v>485</v>
      </c>
      <c r="AG95" s="99"/>
      <c r="AH95" s="99"/>
      <c r="AI95" s="99"/>
    </row>
    <row r="96" spans="25:35">
      <c r="Y96" s="202" t="s">
        <v>613</v>
      </c>
      <c r="Z96" s="99">
        <v>250</v>
      </c>
      <c r="AA96" s="99">
        <v>200</v>
      </c>
      <c r="AB96" s="99">
        <v>250</v>
      </c>
      <c r="AC96" s="99">
        <v>250</v>
      </c>
      <c r="AD96" s="99">
        <v>0.2</v>
      </c>
      <c r="AE96" s="99" t="s">
        <v>484</v>
      </c>
      <c r="AF96" s="99" t="s">
        <v>485</v>
      </c>
      <c r="AG96" s="99"/>
      <c r="AH96" s="99"/>
      <c r="AI96" s="99"/>
    </row>
    <row r="97" spans="25:35">
      <c r="Y97" s="202" t="s">
        <v>614</v>
      </c>
      <c r="Z97" s="99">
        <v>250</v>
      </c>
      <c r="AA97" s="99">
        <v>200</v>
      </c>
      <c r="AB97" s="99">
        <v>250</v>
      </c>
      <c r="AC97" s="99">
        <v>250</v>
      </c>
      <c r="AD97" s="99">
        <v>0.2</v>
      </c>
      <c r="AE97" s="99" t="s">
        <v>484</v>
      </c>
      <c r="AF97" s="99" t="s">
        <v>485</v>
      </c>
      <c r="AG97" s="99"/>
      <c r="AH97" s="99"/>
      <c r="AI97" s="99"/>
    </row>
    <row r="98" spans="25:35">
      <c r="Y98" s="202" t="s">
        <v>615</v>
      </c>
      <c r="Z98" s="99">
        <v>250</v>
      </c>
      <c r="AA98" s="99">
        <v>200</v>
      </c>
      <c r="AB98" s="99">
        <v>250</v>
      </c>
      <c r="AC98" s="99">
        <v>250</v>
      </c>
      <c r="AD98" s="99">
        <v>0.2</v>
      </c>
      <c r="AE98" s="99" t="s">
        <v>484</v>
      </c>
      <c r="AF98" s="99" t="s">
        <v>485</v>
      </c>
      <c r="AG98" s="99"/>
      <c r="AH98" s="99"/>
      <c r="AI98" s="99"/>
    </row>
    <row r="99" spans="25:35">
      <c r="Y99" s="202" t="s">
        <v>616</v>
      </c>
      <c r="Z99" s="99">
        <v>250</v>
      </c>
      <c r="AA99" s="99">
        <v>200</v>
      </c>
      <c r="AB99" s="99">
        <v>250</v>
      </c>
      <c r="AC99" s="99">
        <v>250</v>
      </c>
      <c r="AD99" s="99">
        <v>0.2</v>
      </c>
      <c r="AE99" s="99" t="s">
        <v>484</v>
      </c>
      <c r="AF99" s="99" t="s">
        <v>485</v>
      </c>
      <c r="AG99" s="99"/>
      <c r="AH99" s="99"/>
      <c r="AI99" s="99"/>
    </row>
    <row r="100" spans="25:35">
      <c r="Y100" s="202" t="s">
        <v>617</v>
      </c>
      <c r="Z100" s="99">
        <v>250</v>
      </c>
      <c r="AA100" s="99">
        <v>200</v>
      </c>
      <c r="AB100" s="99">
        <v>250</v>
      </c>
      <c r="AC100" s="99">
        <v>250</v>
      </c>
      <c r="AD100" s="99">
        <v>0.2</v>
      </c>
      <c r="AE100" s="99" t="s">
        <v>484</v>
      </c>
      <c r="AF100" s="99" t="s">
        <v>485</v>
      </c>
      <c r="AG100" s="99"/>
      <c r="AH100" s="99"/>
      <c r="AI100" s="99"/>
    </row>
    <row r="101" spans="25:35">
      <c r="Y101" s="202" t="s">
        <v>618</v>
      </c>
      <c r="Z101" s="99">
        <v>250</v>
      </c>
      <c r="AA101" s="99">
        <v>200</v>
      </c>
      <c r="AB101" s="99">
        <v>250</v>
      </c>
      <c r="AC101" s="99">
        <v>250</v>
      </c>
      <c r="AD101" s="99">
        <v>0.2</v>
      </c>
      <c r="AE101" s="99" t="s">
        <v>484</v>
      </c>
      <c r="AF101" s="99" t="s">
        <v>485</v>
      </c>
      <c r="AG101" s="99"/>
      <c r="AH101" s="99"/>
      <c r="AI101" s="99"/>
    </row>
    <row r="102" spans="25:35">
      <c r="Y102" s="202" t="s">
        <v>619</v>
      </c>
      <c r="Z102" s="99">
        <v>250</v>
      </c>
      <c r="AA102" s="99">
        <v>200</v>
      </c>
      <c r="AB102" s="99">
        <v>250</v>
      </c>
      <c r="AC102" s="99">
        <v>250</v>
      </c>
      <c r="AD102" s="99">
        <v>0.2</v>
      </c>
      <c r="AE102" s="99" t="s">
        <v>484</v>
      </c>
      <c r="AF102" s="99" t="s">
        <v>485</v>
      </c>
      <c r="AG102" s="99"/>
      <c r="AH102" s="99"/>
      <c r="AI102" s="99"/>
    </row>
    <row r="103" spans="25:35">
      <c r="Y103" s="202" t="s">
        <v>620</v>
      </c>
      <c r="Z103" s="99">
        <v>250</v>
      </c>
      <c r="AA103" s="99">
        <v>200</v>
      </c>
      <c r="AB103" s="99">
        <v>250</v>
      </c>
      <c r="AC103" s="99">
        <v>250</v>
      </c>
      <c r="AD103" s="99">
        <v>0.2</v>
      </c>
      <c r="AE103" s="99" t="s">
        <v>484</v>
      </c>
      <c r="AF103" s="99" t="s">
        <v>485</v>
      </c>
      <c r="AG103" s="99"/>
      <c r="AH103" s="99"/>
      <c r="AI103" s="99"/>
    </row>
    <row r="104" spans="25:35">
      <c r="Y104" s="202" t="s">
        <v>621</v>
      </c>
      <c r="Z104" s="99">
        <v>250</v>
      </c>
      <c r="AA104" s="99">
        <v>200</v>
      </c>
      <c r="AB104" s="99">
        <v>250</v>
      </c>
      <c r="AC104" s="99">
        <v>250</v>
      </c>
      <c r="AD104" s="99">
        <v>0.2</v>
      </c>
      <c r="AE104" s="99" t="s">
        <v>484</v>
      </c>
      <c r="AF104" s="99" t="s">
        <v>485</v>
      </c>
      <c r="AG104" s="99"/>
      <c r="AH104" s="99"/>
      <c r="AI104" s="99"/>
    </row>
    <row r="105" spans="25:35">
      <c r="Y105" s="202" t="s">
        <v>622</v>
      </c>
      <c r="Z105" s="99">
        <v>250</v>
      </c>
      <c r="AA105" s="99">
        <v>200</v>
      </c>
      <c r="AB105" s="99">
        <v>250</v>
      </c>
      <c r="AC105" s="99">
        <v>250</v>
      </c>
      <c r="AD105" s="99">
        <v>0.2</v>
      </c>
      <c r="AE105" s="99" t="s">
        <v>484</v>
      </c>
      <c r="AF105" s="99" t="s">
        <v>485</v>
      </c>
      <c r="AG105" s="99"/>
      <c r="AH105" s="99"/>
      <c r="AI105" s="99"/>
    </row>
    <row r="106" spans="25:35">
      <c r="Y106" s="202" t="s">
        <v>623</v>
      </c>
      <c r="Z106" s="99">
        <v>250</v>
      </c>
      <c r="AA106" s="99">
        <v>200</v>
      </c>
      <c r="AB106" s="99">
        <v>250</v>
      </c>
      <c r="AC106" s="99">
        <v>250</v>
      </c>
      <c r="AD106" s="99">
        <v>0.2</v>
      </c>
      <c r="AE106" s="99" t="s">
        <v>484</v>
      </c>
      <c r="AF106" s="99" t="s">
        <v>485</v>
      </c>
      <c r="AG106" s="99"/>
      <c r="AH106" s="99"/>
      <c r="AI106" s="99"/>
    </row>
    <row r="107" spans="25:35">
      <c r="Y107" s="202" t="s">
        <v>624</v>
      </c>
      <c r="Z107" s="99">
        <v>250</v>
      </c>
      <c r="AA107" s="99">
        <v>200</v>
      </c>
      <c r="AB107" s="99">
        <v>250</v>
      </c>
      <c r="AC107" s="99">
        <v>250</v>
      </c>
      <c r="AD107" s="99">
        <v>0.2</v>
      </c>
      <c r="AE107" s="99" t="s">
        <v>484</v>
      </c>
      <c r="AF107" s="99" t="s">
        <v>485</v>
      </c>
      <c r="AG107" s="99"/>
      <c r="AH107" s="99"/>
      <c r="AI107" s="99"/>
    </row>
    <row r="108" spans="25:35">
      <c r="Y108" s="202" t="s">
        <v>625</v>
      </c>
      <c r="Z108" s="99">
        <v>250</v>
      </c>
      <c r="AA108" s="99">
        <v>200</v>
      </c>
      <c r="AB108" s="99">
        <v>250</v>
      </c>
      <c r="AC108" s="99">
        <v>250</v>
      </c>
      <c r="AD108" s="99">
        <v>0.2</v>
      </c>
      <c r="AE108" s="99" t="s">
        <v>484</v>
      </c>
      <c r="AF108" s="99" t="s">
        <v>485</v>
      </c>
      <c r="AG108" s="99"/>
      <c r="AH108" s="99"/>
      <c r="AI108" s="99"/>
    </row>
    <row r="109" spans="25:35">
      <c r="Y109" s="202" t="s">
        <v>626</v>
      </c>
      <c r="Z109" s="99">
        <v>250</v>
      </c>
      <c r="AA109" s="99">
        <v>200</v>
      </c>
      <c r="AB109" s="99">
        <v>250</v>
      </c>
      <c r="AC109" s="99">
        <v>250</v>
      </c>
      <c r="AD109" s="99">
        <v>0.2</v>
      </c>
      <c r="AE109" s="99" t="s">
        <v>484</v>
      </c>
      <c r="AF109" s="99" t="s">
        <v>485</v>
      </c>
      <c r="AG109" s="99"/>
      <c r="AH109" s="99"/>
      <c r="AI109" s="99"/>
    </row>
    <row r="110" spans="25:35">
      <c r="Y110" s="202" t="s">
        <v>627</v>
      </c>
      <c r="Z110" s="99">
        <v>250</v>
      </c>
      <c r="AA110" s="99">
        <v>200</v>
      </c>
      <c r="AB110" s="99">
        <v>250</v>
      </c>
      <c r="AC110" s="99">
        <v>250</v>
      </c>
      <c r="AD110" s="99">
        <v>0.2</v>
      </c>
      <c r="AE110" s="99" t="s">
        <v>484</v>
      </c>
      <c r="AF110" s="99" t="s">
        <v>485</v>
      </c>
      <c r="AG110" s="99"/>
      <c r="AH110" s="99"/>
      <c r="AI110" s="99"/>
    </row>
    <row r="111" spans="25:35">
      <c r="Y111" s="202" t="s">
        <v>628</v>
      </c>
      <c r="Z111" s="99">
        <v>250</v>
      </c>
      <c r="AA111" s="99">
        <v>200</v>
      </c>
      <c r="AB111" s="99">
        <v>250</v>
      </c>
      <c r="AC111" s="99">
        <v>250</v>
      </c>
      <c r="AD111" s="99">
        <v>0.2</v>
      </c>
      <c r="AE111" s="99" t="s">
        <v>484</v>
      </c>
      <c r="AF111" s="99" t="s">
        <v>485</v>
      </c>
      <c r="AG111" s="99"/>
      <c r="AH111" s="99"/>
      <c r="AI111" s="99"/>
    </row>
    <row r="112" spans="25:35">
      <c r="Y112" s="202" t="s">
        <v>629</v>
      </c>
      <c r="Z112" s="99">
        <v>250</v>
      </c>
      <c r="AA112" s="99">
        <v>200</v>
      </c>
      <c r="AB112" s="99">
        <v>250</v>
      </c>
      <c r="AC112" s="99">
        <v>250</v>
      </c>
      <c r="AD112" s="99">
        <v>0.2</v>
      </c>
      <c r="AE112" s="99" t="s">
        <v>484</v>
      </c>
      <c r="AF112" s="99" t="s">
        <v>485</v>
      </c>
      <c r="AG112" s="99"/>
      <c r="AH112" s="99"/>
      <c r="AI112" s="99"/>
    </row>
    <row r="113" spans="25:35" ht="30">
      <c r="Y113" s="202" t="s">
        <v>630</v>
      </c>
      <c r="Z113" s="99">
        <v>250</v>
      </c>
      <c r="AA113" s="99">
        <v>200</v>
      </c>
      <c r="AB113" s="99">
        <v>250</v>
      </c>
      <c r="AC113" s="99">
        <v>250</v>
      </c>
      <c r="AD113" s="99">
        <v>0.2</v>
      </c>
      <c r="AE113" s="99" t="s">
        <v>484</v>
      </c>
      <c r="AF113" s="99" t="s">
        <v>485</v>
      </c>
      <c r="AG113" s="99"/>
      <c r="AH113" s="99"/>
      <c r="AI113" s="99"/>
    </row>
    <row r="114" spans="25:35">
      <c r="Y114" s="202" t="s">
        <v>631</v>
      </c>
      <c r="Z114" s="99">
        <v>250</v>
      </c>
      <c r="AA114" s="99">
        <v>200</v>
      </c>
      <c r="AB114" s="99">
        <v>250</v>
      </c>
      <c r="AC114" s="99">
        <v>250</v>
      </c>
      <c r="AD114" s="99">
        <v>0.2</v>
      </c>
      <c r="AE114" s="99" t="s">
        <v>484</v>
      </c>
      <c r="AF114" s="99" t="s">
        <v>485</v>
      </c>
      <c r="AG114" s="99"/>
      <c r="AH114" s="99"/>
      <c r="AI114" s="99"/>
    </row>
    <row r="115" spans="25:35">
      <c r="Y115" s="202" t="s">
        <v>632</v>
      </c>
      <c r="Z115" s="99">
        <v>250</v>
      </c>
      <c r="AA115" s="99">
        <v>200</v>
      </c>
      <c r="AB115" s="99">
        <v>250</v>
      </c>
      <c r="AC115" s="99">
        <v>250</v>
      </c>
      <c r="AD115" s="99">
        <v>0.2</v>
      </c>
      <c r="AE115" s="99" t="s">
        <v>484</v>
      </c>
      <c r="AF115" s="99" t="s">
        <v>485</v>
      </c>
      <c r="AG115" s="99"/>
      <c r="AH115" s="99"/>
      <c r="AI115" s="99"/>
    </row>
    <row r="116" spans="25:35">
      <c r="Y116" s="202" t="s">
        <v>633</v>
      </c>
      <c r="Z116" s="99">
        <v>250</v>
      </c>
      <c r="AA116" s="99">
        <v>200</v>
      </c>
      <c r="AB116" s="99">
        <v>250</v>
      </c>
      <c r="AC116" s="99">
        <v>250</v>
      </c>
      <c r="AD116" s="99">
        <v>0.2</v>
      </c>
      <c r="AE116" s="99" t="s">
        <v>484</v>
      </c>
      <c r="AF116" s="99" t="s">
        <v>485</v>
      </c>
      <c r="AG116" s="99"/>
      <c r="AH116" s="99"/>
      <c r="AI116" s="99"/>
    </row>
    <row r="117" spans="25:35">
      <c r="Y117" s="202" t="s">
        <v>634</v>
      </c>
      <c r="Z117" s="99">
        <v>250</v>
      </c>
      <c r="AA117" s="99">
        <v>200</v>
      </c>
      <c r="AB117" s="99">
        <v>250</v>
      </c>
      <c r="AC117" s="99">
        <v>250</v>
      </c>
      <c r="AD117" s="99">
        <v>0.2</v>
      </c>
      <c r="AE117" s="99" t="s">
        <v>484</v>
      </c>
      <c r="AF117" s="99" t="s">
        <v>485</v>
      </c>
      <c r="AG117" s="99"/>
      <c r="AH117" s="99"/>
      <c r="AI117" s="99"/>
    </row>
    <row r="118" spans="25:35">
      <c r="Y118" s="202" t="s">
        <v>635</v>
      </c>
      <c r="Z118" s="99">
        <v>250</v>
      </c>
      <c r="AA118" s="99">
        <v>200</v>
      </c>
      <c r="AB118" s="99">
        <v>250</v>
      </c>
      <c r="AC118" s="99">
        <v>250</v>
      </c>
      <c r="AD118" s="99">
        <v>0.2</v>
      </c>
      <c r="AE118" s="99" t="s">
        <v>484</v>
      </c>
      <c r="AF118" s="99" t="s">
        <v>485</v>
      </c>
      <c r="AG118" s="99"/>
      <c r="AH118" s="99"/>
      <c r="AI118" s="99"/>
    </row>
    <row r="119" spans="25:35">
      <c r="Y119" s="202" t="s">
        <v>636</v>
      </c>
      <c r="Z119" s="99">
        <v>250</v>
      </c>
      <c r="AA119" s="99">
        <v>200</v>
      </c>
      <c r="AB119" s="99">
        <v>250</v>
      </c>
      <c r="AC119" s="99">
        <v>250</v>
      </c>
      <c r="AD119" s="99">
        <v>0.2</v>
      </c>
      <c r="AE119" s="99" t="s">
        <v>484</v>
      </c>
      <c r="AF119" s="99" t="s">
        <v>485</v>
      </c>
      <c r="AG119" s="99"/>
      <c r="AH119" s="99"/>
      <c r="AI119" s="99"/>
    </row>
    <row r="120" spans="25:35">
      <c r="Y120" s="202" t="s">
        <v>637</v>
      </c>
      <c r="Z120" s="99">
        <v>250</v>
      </c>
      <c r="AA120" s="99">
        <v>200</v>
      </c>
      <c r="AB120" s="99">
        <v>250</v>
      </c>
      <c r="AC120" s="99">
        <v>250</v>
      </c>
      <c r="AD120" s="99">
        <v>0.2</v>
      </c>
      <c r="AE120" s="99" t="s">
        <v>484</v>
      </c>
      <c r="AF120" s="99" t="s">
        <v>485</v>
      </c>
      <c r="AG120" s="99"/>
      <c r="AH120" s="99"/>
      <c r="AI120" s="99"/>
    </row>
    <row r="121" spans="25:35">
      <c r="Y121" s="202" t="s">
        <v>638</v>
      </c>
      <c r="Z121" s="99">
        <v>250</v>
      </c>
      <c r="AA121" s="99">
        <v>200</v>
      </c>
      <c r="AB121" s="99">
        <v>250</v>
      </c>
      <c r="AC121" s="99">
        <v>250</v>
      </c>
      <c r="AD121" s="99">
        <v>0.2</v>
      </c>
      <c r="AE121" s="99" t="s">
        <v>484</v>
      </c>
      <c r="AF121" s="99" t="s">
        <v>485</v>
      </c>
      <c r="AG121" s="99"/>
      <c r="AH121" s="99"/>
      <c r="AI121" s="99"/>
    </row>
    <row r="122" spans="25:35">
      <c r="Y122" s="202" t="s">
        <v>639</v>
      </c>
      <c r="Z122" s="99">
        <v>250</v>
      </c>
      <c r="AA122" s="99">
        <v>200</v>
      </c>
      <c r="AB122" s="99">
        <v>250</v>
      </c>
      <c r="AC122" s="99">
        <v>250</v>
      </c>
      <c r="AD122" s="99">
        <v>0.2</v>
      </c>
      <c r="AE122" s="99" t="s">
        <v>484</v>
      </c>
      <c r="AF122" s="99" t="s">
        <v>485</v>
      </c>
      <c r="AG122" s="99"/>
      <c r="AH122" s="99"/>
      <c r="AI122" s="99"/>
    </row>
    <row r="123" spans="25:35">
      <c r="Y123" s="202" t="s">
        <v>640</v>
      </c>
      <c r="Z123" s="99">
        <v>250</v>
      </c>
      <c r="AA123" s="99">
        <v>200</v>
      </c>
      <c r="AB123" s="99">
        <v>250</v>
      </c>
      <c r="AC123" s="99">
        <v>250</v>
      </c>
      <c r="AD123" s="99">
        <v>0.2</v>
      </c>
      <c r="AE123" s="99" t="s">
        <v>484</v>
      </c>
      <c r="AF123" s="99" t="s">
        <v>485</v>
      </c>
      <c r="AG123" s="99"/>
      <c r="AH123" s="99"/>
      <c r="AI123" s="99"/>
    </row>
    <row r="124" spans="25:35">
      <c r="Y124" s="202" t="s">
        <v>641</v>
      </c>
      <c r="Z124" s="99">
        <v>250</v>
      </c>
      <c r="AA124" s="99">
        <v>200</v>
      </c>
      <c r="AB124" s="99">
        <v>250</v>
      </c>
      <c r="AC124" s="99">
        <v>250</v>
      </c>
      <c r="AD124" s="99">
        <v>0.2</v>
      </c>
      <c r="AE124" s="99" t="s">
        <v>484</v>
      </c>
      <c r="AF124" s="99" t="s">
        <v>485</v>
      </c>
      <c r="AG124" s="99"/>
      <c r="AH124" s="99"/>
      <c r="AI124" s="99"/>
    </row>
    <row r="125" spans="25:35">
      <c r="Y125" s="202" t="s">
        <v>642</v>
      </c>
      <c r="Z125" s="99">
        <v>250</v>
      </c>
      <c r="AA125" s="99">
        <v>200</v>
      </c>
      <c r="AB125" s="99">
        <v>250</v>
      </c>
      <c r="AC125" s="99">
        <v>250</v>
      </c>
      <c r="AD125" s="99">
        <v>0.2</v>
      </c>
      <c r="AE125" s="99" t="s">
        <v>484</v>
      </c>
      <c r="AF125" s="99" t="s">
        <v>485</v>
      </c>
      <c r="AG125" s="99"/>
      <c r="AH125" s="99"/>
      <c r="AI125" s="99"/>
    </row>
    <row r="126" spans="25:35">
      <c r="Y126" s="202" t="s">
        <v>643</v>
      </c>
      <c r="Z126" s="99">
        <v>250</v>
      </c>
      <c r="AA126" s="99">
        <v>200</v>
      </c>
      <c r="AB126" s="99">
        <v>250</v>
      </c>
      <c r="AC126" s="99">
        <v>250</v>
      </c>
      <c r="AD126" s="99">
        <v>0.2</v>
      </c>
      <c r="AE126" s="99" t="s">
        <v>484</v>
      </c>
      <c r="AF126" s="99" t="s">
        <v>485</v>
      </c>
      <c r="AG126" s="99"/>
      <c r="AH126" s="99"/>
      <c r="AI126" s="99"/>
    </row>
    <row r="127" spans="25:35">
      <c r="Y127" s="202" t="s">
        <v>644</v>
      </c>
      <c r="Z127" s="99">
        <v>250</v>
      </c>
      <c r="AA127" s="99">
        <v>200</v>
      </c>
      <c r="AB127" s="99">
        <v>250</v>
      </c>
      <c r="AC127" s="99">
        <v>250</v>
      </c>
      <c r="AD127" s="99">
        <v>0.2</v>
      </c>
      <c r="AE127" s="99" t="s">
        <v>484</v>
      </c>
      <c r="AF127" s="99" t="s">
        <v>485</v>
      </c>
      <c r="AG127" s="99"/>
      <c r="AH127" s="99"/>
      <c r="AI127" s="99"/>
    </row>
    <row r="128" spans="25:35">
      <c r="Y128" s="202" t="s">
        <v>645</v>
      </c>
      <c r="Z128" s="99">
        <v>250</v>
      </c>
      <c r="AA128" s="99">
        <v>200</v>
      </c>
      <c r="AB128" s="99">
        <v>250</v>
      </c>
      <c r="AC128" s="99">
        <v>250</v>
      </c>
      <c r="AD128" s="99">
        <v>0.2</v>
      </c>
      <c r="AE128" s="99" t="s">
        <v>484</v>
      </c>
      <c r="AF128" s="99" t="s">
        <v>485</v>
      </c>
      <c r="AG128" s="99"/>
      <c r="AH128" s="99"/>
      <c r="AI128" s="99"/>
    </row>
    <row r="129" spans="25:35">
      <c r="Y129" s="202" t="s">
        <v>646</v>
      </c>
      <c r="Z129" s="99">
        <v>250</v>
      </c>
      <c r="AA129" s="99">
        <v>200</v>
      </c>
      <c r="AB129" s="99">
        <v>250</v>
      </c>
      <c r="AC129" s="99">
        <v>250</v>
      </c>
      <c r="AD129" s="99">
        <v>0.2</v>
      </c>
      <c r="AE129" s="99" t="s">
        <v>484</v>
      </c>
      <c r="AF129" s="99" t="s">
        <v>485</v>
      </c>
      <c r="AG129" s="99"/>
      <c r="AH129" s="99"/>
      <c r="AI129" s="99"/>
    </row>
    <row r="130" spans="25:35">
      <c r="Y130" s="202" t="s">
        <v>647</v>
      </c>
      <c r="Z130" s="99">
        <v>250</v>
      </c>
      <c r="AA130" s="99">
        <v>200</v>
      </c>
      <c r="AB130" s="99">
        <v>250</v>
      </c>
      <c r="AC130" s="99">
        <v>250</v>
      </c>
      <c r="AD130" s="99">
        <v>0.2</v>
      </c>
      <c r="AE130" s="99" t="s">
        <v>484</v>
      </c>
      <c r="AF130" s="99" t="s">
        <v>485</v>
      </c>
      <c r="AG130" s="99"/>
      <c r="AH130" s="99"/>
      <c r="AI130" s="99"/>
    </row>
    <row r="131" spans="25:35">
      <c r="Y131" s="202" t="s">
        <v>648</v>
      </c>
      <c r="Z131" s="99">
        <v>250</v>
      </c>
      <c r="AA131" s="99">
        <v>200</v>
      </c>
      <c r="AB131" s="99">
        <v>250</v>
      </c>
      <c r="AC131" s="99">
        <v>250</v>
      </c>
      <c r="AD131" s="99">
        <v>0.2</v>
      </c>
      <c r="AE131" s="99" t="s">
        <v>484</v>
      </c>
      <c r="AF131" s="99" t="s">
        <v>485</v>
      </c>
      <c r="AG131" s="99"/>
      <c r="AH131" s="99"/>
      <c r="AI131" s="99"/>
    </row>
    <row r="132" spans="25:35">
      <c r="Y132" s="202" t="s">
        <v>649</v>
      </c>
      <c r="Z132" s="99">
        <v>250</v>
      </c>
      <c r="AA132" s="99">
        <v>200</v>
      </c>
      <c r="AB132" s="99">
        <v>250</v>
      </c>
      <c r="AC132" s="99">
        <v>250</v>
      </c>
      <c r="AD132" s="99">
        <v>0.2</v>
      </c>
      <c r="AE132" s="99" t="s">
        <v>484</v>
      </c>
      <c r="AF132" s="99" t="s">
        <v>485</v>
      </c>
      <c r="AG132" s="99"/>
      <c r="AH132" s="99"/>
      <c r="AI132" s="99"/>
    </row>
    <row r="133" spans="25:35">
      <c r="Y133" s="202" t="s">
        <v>650</v>
      </c>
      <c r="Z133" s="99">
        <v>250</v>
      </c>
      <c r="AA133" s="99">
        <v>200</v>
      </c>
      <c r="AB133" s="99">
        <v>250</v>
      </c>
      <c r="AC133" s="99">
        <v>250</v>
      </c>
      <c r="AD133" s="99">
        <v>0.2</v>
      </c>
      <c r="AE133" s="99" t="s">
        <v>484</v>
      </c>
      <c r="AF133" s="99" t="s">
        <v>485</v>
      </c>
      <c r="AG133" s="99"/>
      <c r="AH133" s="99"/>
      <c r="AI133" s="99"/>
    </row>
    <row r="134" spans="25:35">
      <c r="Y134" s="202" t="s">
        <v>651</v>
      </c>
      <c r="Z134" s="99">
        <v>250</v>
      </c>
      <c r="AA134" s="99">
        <v>200</v>
      </c>
      <c r="AB134" s="99">
        <v>250</v>
      </c>
      <c r="AC134" s="99">
        <v>250</v>
      </c>
      <c r="AD134" s="99">
        <v>0.2</v>
      </c>
      <c r="AE134" s="99" t="s">
        <v>484</v>
      </c>
      <c r="AF134" s="99" t="s">
        <v>485</v>
      </c>
      <c r="AG134" s="99"/>
      <c r="AH134" s="99"/>
      <c r="AI134" s="99"/>
    </row>
    <row r="135" spans="25:35">
      <c r="Y135" s="202" t="s">
        <v>652</v>
      </c>
      <c r="Z135" s="99">
        <v>250</v>
      </c>
      <c r="AA135" s="99">
        <v>200</v>
      </c>
      <c r="AB135" s="99">
        <v>250</v>
      </c>
      <c r="AC135" s="99">
        <v>250</v>
      </c>
      <c r="AD135" s="99">
        <v>0.2</v>
      </c>
      <c r="AE135" s="99" t="s">
        <v>484</v>
      </c>
      <c r="AF135" s="99" t="s">
        <v>485</v>
      </c>
      <c r="AG135" s="99"/>
      <c r="AH135" s="99"/>
      <c r="AI135" s="99"/>
    </row>
    <row r="136" spans="25:35">
      <c r="Y136" s="202" t="s">
        <v>653</v>
      </c>
      <c r="Z136" s="99">
        <v>250</v>
      </c>
      <c r="AA136" s="99">
        <v>200</v>
      </c>
      <c r="AB136" s="99">
        <v>250</v>
      </c>
      <c r="AC136" s="99">
        <v>250</v>
      </c>
      <c r="AD136" s="99">
        <v>0.2</v>
      </c>
      <c r="AE136" s="99" t="s">
        <v>484</v>
      </c>
      <c r="AF136" s="99" t="s">
        <v>485</v>
      </c>
      <c r="AG136" s="99"/>
      <c r="AH136" s="99"/>
      <c r="AI136" s="99"/>
    </row>
    <row r="137" spans="25:35">
      <c r="Y137" s="202" t="s">
        <v>654</v>
      </c>
      <c r="Z137" s="99">
        <v>250</v>
      </c>
      <c r="AA137" s="99">
        <v>200</v>
      </c>
      <c r="AB137" s="99">
        <v>250</v>
      </c>
      <c r="AC137" s="99">
        <v>250</v>
      </c>
      <c r="AD137" s="99">
        <v>0.2</v>
      </c>
      <c r="AE137" s="99" t="s">
        <v>484</v>
      </c>
      <c r="AF137" s="99" t="s">
        <v>485</v>
      </c>
      <c r="AG137" s="99"/>
      <c r="AH137" s="99"/>
      <c r="AI137" s="99"/>
    </row>
    <row r="138" spans="25:35">
      <c r="Y138" s="202" t="s">
        <v>655</v>
      </c>
      <c r="Z138" s="99">
        <v>250</v>
      </c>
      <c r="AA138" s="99">
        <v>200</v>
      </c>
      <c r="AB138" s="99">
        <v>250</v>
      </c>
      <c r="AC138" s="99">
        <v>250</v>
      </c>
      <c r="AD138" s="99">
        <v>0.2</v>
      </c>
      <c r="AE138" s="99" t="s">
        <v>484</v>
      </c>
      <c r="AF138" s="99" t="s">
        <v>485</v>
      </c>
      <c r="AG138" s="99"/>
      <c r="AH138" s="99"/>
      <c r="AI138" s="99"/>
    </row>
    <row r="139" spans="25:35">
      <c r="Y139" s="202" t="s">
        <v>656</v>
      </c>
      <c r="Z139" s="99">
        <v>250</v>
      </c>
      <c r="AA139" s="99">
        <v>200</v>
      </c>
      <c r="AB139" s="99">
        <v>250</v>
      </c>
      <c r="AC139" s="99">
        <v>250</v>
      </c>
      <c r="AD139" s="99">
        <v>0.2</v>
      </c>
      <c r="AE139" s="99" t="s">
        <v>484</v>
      </c>
      <c r="AF139" s="99" t="s">
        <v>485</v>
      </c>
      <c r="AG139" s="99"/>
      <c r="AH139" s="99"/>
      <c r="AI139" s="99"/>
    </row>
    <row r="140" spans="25:35" ht="30">
      <c r="Y140" s="202" t="s">
        <v>657</v>
      </c>
      <c r="Z140" s="99">
        <v>250</v>
      </c>
      <c r="AA140" s="99">
        <v>200</v>
      </c>
      <c r="AB140" s="99">
        <v>250</v>
      </c>
      <c r="AC140" s="99">
        <v>250</v>
      </c>
      <c r="AD140" s="99">
        <v>0.2</v>
      </c>
      <c r="AE140" s="99" t="s">
        <v>484</v>
      </c>
      <c r="AF140" s="99" t="s">
        <v>485</v>
      </c>
      <c r="AG140" s="99"/>
      <c r="AH140" s="99"/>
      <c r="AI140" s="99"/>
    </row>
    <row r="141" spans="25:35">
      <c r="Y141" s="202" t="s">
        <v>658</v>
      </c>
      <c r="Z141" s="99">
        <v>250</v>
      </c>
      <c r="AA141" s="99">
        <v>200</v>
      </c>
      <c r="AB141" s="99">
        <v>250</v>
      </c>
      <c r="AC141" s="99">
        <v>250</v>
      </c>
      <c r="AD141" s="99">
        <v>0.2</v>
      </c>
      <c r="AE141" s="99" t="s">
        <v>484</v>
      </c>
      <c r="AF141" s="99" t="s">
        <v>485</v>
      </c>
      <c r="AG141" s="99"/>
      <c r="AH141" s="99"/>
      <c r="AI141" s="99"/>
    </row>
    <row r="142" spans="25:35">
      <c r="Y142" s="202" t="s">
        <v>659</v>
      </c>
      <c r="Z142" s="99">
        <v>250</v>
      </c>
      <c r="AA142" s="99">
        <v>200</v>
      </c>
      <c r="AB142" s="99">
        <v>250</v>
      </c>
      <c r="AC142" s="99">
        <v>250</v>
      </c>
      <c r="AD142" s="99">
        <v>0.2</v>
      </c>
      <c r="AE142" s="99" t="s">
        <v>484</v>
      </c>
      <c r="AF142" s="99" t="s">
        <v>485</v>
      </c>
      <c r="AG142" s="99"/>
      <c r="AH142" s="99"/>
      <c r="AI142" s="99"/>
    </row>
    <row r="143" spans="25:35">
      <c r="Y143" s="202" t="s">
        <v>660</v>
      </c>
      <c r="Z143" s="99">
        <v>250</v>
      </c>
      <c r="AA143" s="99">
        <v>200</v>
      </c>
      <c r="AB143" s="99">
        <v>250</v>
      </c>
      <c r="AC143" s="99">
        <v>250</v>
      </c>
      <c r="AD143" s="99">
        <v>0.2</v>
      </c>
      <c r="AE143" s="99" t="s">
        <v>484</v>
      </c>
      <c r="AF143" s="99" t="s">
        <v>485</v>
      </c>
      <c r="AG143" s="99"/>
      <c r="AH143" s="99"/>
      <c r="AI143" s="99"/>
    </row>
    <row r="144" spans="25:35">
      <c r="Y144" s="202" t="s">
        <v>661</v>
      </c>
      <c r="Z144" s="99">
        <v>250</v>
      </c>
      <c r="AA144" s="99">
        <v>200</v>
      </c>
      <c r="AB144" s="99">
        <v>250</v>
      </c>
      <c r="AC144" s="99">
        <v>250</v>
      </c>
      <c r="AD144" s="99">
        <v>0.2</v>
      </c>
      <c r="AE144" s="99" t="s">
        <v>484</v>
      </c>
      <c r="AF144" s="99" t="s">
        <v>485</v>
      </c>
      <c r="AG144" s="99"/>
      <c r="AH144" s="99"/>
      <c r="AI144" s="99"/>
    </row>
    <row r="145" spans="25:35">
      <c r="Y145" s="202" t="s">
        <v>662</v>
      </c>
      <c r="Z145" s="99">
        <v>250</v>
      </c>
      <c r="AA145" s="99">
        <v>200</v>
      </c>
      <c r="AB145" s="99">
        <v>250</v>
      </c>
      <c r="AC145" s="99">
        <v>250</v>
      </c>
      <c r="AD145" s="99">
        <v>0.2</v>
      </c>
      <c r="AE145" s="99" t="s">
        <v>484</v>
      </c>
      <c r="AF145" s="99" t="s">
        <v>485</v>
      </c>
      <c r="AG145" s="99"/>
      <c r="AH145" s="99"/>
      <c r="AI145" s="99"/>
    </row>
    <row r="146" spans="25:35">
      <c r="Y146" s="202" t="s">
        <v>663</v>
      </c>
      <c r="Z146" s="99">
        <v>250</v>
      </c>
      <c r="AA146" s="99">
        <v>200</v>
      </c>
      <c r="AB146" s="99">
        <v>250</v>
      </c>
      <c r="AC146" s="99">
        <v>250</v>
      </c>
      <c r="AD146" s="99">
        <v>0.2</v>
      </c>
      <c r="AE146" s="99" t="s">
        <v>484</v>
      </c>
      <c r="AF146" s="99" t="s">
        <v>485</v>
      </c>
      <c r="AG146" s="99"/>
      <c r="AH146" s="99"/>
      <c r="AI146" s="99"/>
    </row>
    <row r="147" spans="25:35" ht="30">
      <c r="Y147" s="202" t="s">
        <v>664</v>
      </c>
      <c r="Z147" s="99">
        <v>250</v>
      </c>
      <c r="AA147" s="99">
        <v>200</v>
      </c>
      <c r="AB147" s="99">
        <v>250</v>
      </c>
      <c r="AC147" s="99">
        <v>250</v>
      </c>
      <c r="AD147" s="99">
        <v>0.2</v>
      </c>
      <c r="AE147" s="99" t="s">
        <v>484</v>
      </c>
      <c r="AF147" s="99" t="s">
        <v>485</v>
      </c>
      <c r="AG147" s="99"/>
      <c r="AH147" s="99"/>
      <c r="AI147" s="99"/>
    </row>
    <row r="148" spans="25:35">
      <c r="Y148" s="202" t="s">
        <v>665</v>
      </c>
      <c r="Z148" s="99">
        <v>250</v>
      </c>
      <c r="AA148" s="99">
        <v>200</v>
      </c>
      <c r="AB148" s="99">
        <v>250</v>
      </c>
      <c r="AC148" s="99">
        <v>250</v>
      </c>
      <c r="AD148" s="99">
        <v>0.2</v>
      </c>
      <c r="AE148" s="99" t="s">
        <v>484</v>
      </c>
      <c r="AF148" s="99" t="s">
        <v>485</v>
      </c>
      <c r="AG148" s="99"/>
      <c r="AH148" s="99"/>
      <c r="AI148" s="99"/>
    </row>
    <row r="149" spans="25:35">
      <c r="Y149" s="202" t="s">
        <v>666</v>
      </c>
      <c r="Z149" s="99">
        <v>250</v>
      </c>
      <c r="AA149" s="99">
        <v>200</v>
      </c>
      <c r="AB149" s="99">
        <v>250</v>
      </c>
      <c r="AC149" s="99">
        <v>250</v>
      </c>
      <c r="AD149" s="99">
        <v>0.2</v>
      </c>
      <c r="AE149" s="99" t="s">
        <v>484</v>
      </c>
      <c r="AF149" s="99" t="s">
        <v>485</v>
      </c>
      <c r="AG149" s="99"/>
      <c r="AH149" s="99"/>
      <c r="AI149" s="99"/>
    </row>
    <row r="150" spans="25:35" ht="30">
      <c r="Y150" s="202" t="s">
        <v>667</v>
      </c>
      <c r="Z150" s="99">
        <v>250</v>
      </c>
      <c r="AA150" s="99">
        <v>200</v>
      </c>
      <c r="AB150" s="99">
        <v>250</v>
      </c>
      <c r="AC150" s="99">
        <v>250</v>
      </c>
      <c r="AD150" s="99">
        <v>0.2</v>
      </c>
      <c r="AE150" s="99" t="s">
        <v>484</v>
      </c>
      <c r="AF150" s="99" t="s">
        <v>485</v>
      </c>
      <c r="AG150" s="99"/>
      <c r="AH150" s="99"/>
      <c r="AI150" s="99"/>
    </row>
    <row r="151" spans="25:35">
      <c r="Y151" s="202" t="s">
        <v>668</v>
      </c>
      <c r="Z151" s="99">
        <v>250</v>
      </c>
      <c r="AA151" s="99">
        <v>200</v>
      </c>
      <c r="AB151" s="99">
        <v>250</v>
      </c>
      <c r="AC151" s="99">
        <v>250</v>
      </c>
      <c r="AD151" s="99">
        <v>0.2</v>
      </c>
      <c r="AE151" s="99" t="s">
        <v>484</v>
      </c>
      <c r="AF151" s="99" t="s">
        <v>485</v>
      </c>
      <c r="AG151" s="99"/>
      <c r="AH151" s="99"/>
      <c r="AI151" s="99"/>
    </row>
    <row r="152" spans="25:35">
      <c r="Y152" s="202" t="s">
        <v>669</v>
      </c>
      <c r="Z152" s="99">
        <v>250</v>
      </c>
      <c r="AA152" s="99">
        <v>200</v>
      </c>
      <c r="AB152" s="99">
        <v>250</v>
      </c>
      <c r="AC152" s="99">
        <v>250</v>
      </c>
      <c r="AD152" s="99">
        <v>0.2</v>
      </c>
      <c r="AE152" s="99" t="s">
        <v>484</v>
      </c>
      <c r="AF152" s="99" t="s">
        <v>485</v>
      </c>
      <c r="AG152" s="99"/>
      <c r="AH152" s="99"/>
      <c r="AI152" s="99"/>
    </row>
    <row r="153" spans="25:35">
      <c r="Y153" s="202" t="s">
        <v>670</v>
      </c>
      <c r="Z153" s="99">
        <v>250</v>
      </c>
      <c r="AA153" s="99">
        <v>200</v>
      </c>
      <c r="AB153" s="99">
        <v>250</v>
      </c>
      <c r="AC153" s="99">
        <v>250</v>
      </c>
      <c r="AD153" s="99">
        <v>0.2</v>
      </c>
      <c r="AE153" s="99" t="s">
        <v>484</v>
      </c>
      <c r="AF153" s="99" t="s">
        <v>485</v>
      </c>
      <c r="AG153" s="99"/>
      <c r="AH153" s="99"/>
      <c r="AI153" s="99"/>
    </row>
    <row r="154" spans="25:35">
      <c r="Y154" s="202" t="s">
        <v>671</v>
      </c>
      <c r="Z154" s="99">
        <v>250</v>
      </c>
      <c r="AA154" s="99">
        <v>200</v>
      </c>
      <c r="AB154" s="99">
        <v>250</v>
      </c>
      <c r="AC154" s="99">
        <v>250</v>
      </c>
      <c r="AD154" s="99">
        <v>0.2</v>
      </c>
      <c r="AE154" s="99" t="s">
        <v>484</v>
      </c>
      <c r="AF154" s="99" t="s">
        <v>485</v>
      </c>
      <c r="AG154" s="99"/>
      <c r="AH154" s="99"/>
      <c r="AI154" s="99"/>
    </row>
    <row r="155" spans="25:35">
      <c r="Y155" s="202" t="s">
        <v>672</v>
      </c>
      <c r="Z155" s="99">
        <v>250</v>
      </c>
      <c r="AA155" s="99">
        <v>200</v>
      </c>
      <c r="AB155" s="99">
        <v>250</v>
      </c>
      <c r="AC155" s="99">
        <v>250</v>
      </c>
      <c r="AD155" s="99">
        <v>0.2</v>
      </c>
      <c r="AE155" s="99" t="s">
        <v>484</v>
      </c>
      <c r="AF155" s="99" t="s">
        <v>485</v>
      </c>
      <c r="AG155" s="99"/>
      <c r="AH155" s="99"/>
      <c r="AI155" s="99"/>
    </row>
    <row r="156" spans="25:35">
      <c r="Y156" s="202" t="s">
        <v>673</v>
      </c>
      <c r="Z156" s="99">
        <v>250</v>
      </c>
      <c r="AA156" s="99">
        <v>200</v>
      </c>
      <c r="AB156" s="99">
        <v>250</v>
      </c>
      <c r="AC156" s="99">
        <v>250</v>
      </c>
      <c r="AD156" s="99">
        <v>0.2</v>
      </c>
      <c r="AE156" s="99" t="s">
        <v>484</v>
      </c>
      <c r="AF156" s="99" t="s">
        <v>485</v>
      </c>
      <c r="AG156" s="99"/>
      <c r="AH156" s="99"/>
      <c r="AI156" s="99"/>
    </row>
    <row r="157" spans="25:35">
      <c r="Y157" s="202" t="s">
        <v>674</v>
      </c>
      <c r="Z157" s="99">
        <v>250</v>
      </c>
      <c r="AA157" s="99">
        <v>200</v>
      </c>
      <c r="AB157" s="99">
        <v>250</v>
      </c>
      <c r="AC157" s="99">
        <v>250</v>
      </c>
      <c r="AD157" s="99">
        <v>0.2</v>
      </c>
      <c r="AE157" s="99" t="s">
        <v>484</v>
      </c>
      <c r="AF157" s="99" t="s">
        <v>485</v>
      </c>
      <c r="AG157" s="99"/>
      <c r="AH157" s="99"/>
      <c r="AI157" s="99"/>
    </row>
    <row r="158" spans="25:35">
      <c r="Y158" s="202" t="s">
        <v>675</v>
      </c>
      <c r="Z158" s="99">
        <v>250</v>
      </c>
      <c r="AA158" s="99">
        <v>200</v>
      </c>
      <c r="AB158" s="99">
        <v>250</v>
      </c>
      <c r="AC158" s="99">
        <v>250</v>
      </c>
      <c r="AD158" s="99">
        <v>0.2</v>
      </c>
      <c r="AE158" s="99" t="s">
        <v>484</v>
      </c>
      <c r="AF158" s="99" t="s">
        <v>485</v>
      </c>
      <c r="AG158" s="99"/>
      <c r="AH158" s="99"/>
      <c r="AI158" s="99"/>
    </row>
    <row r="159" spans="25:35">
      <c r="Y159" s="202" t="s">
        <v>676</v>
      </c>
      <c r="Z159" s="99">
        <v>250</v>
      </c>
      <c r="AA159" s="99">
        <v>200</v>
      </c>
      <c r="AB159" s="99">
        <v>250</v>
      </c>
      <c r="AC159" s="99">
        <v>250</v>
      </c>
      <c r="AD159" s="99">
        <v>0.2</v>
      </c>
      <c r="AE159" s="99" t="s">
        <v>484</v>
      </c>
      <c r="AF159" s="99" t="s">
        <v>485</v>
      </c>
      <c r="AG159" s="99"/>
      <c r="AH159" s="99"/>
      <c r="AI159" s="99"/>
    </row>
    <row r="160" spans="25:35">
      <c r="Y160" s="202" t="s">
        <v>677</v>
      </c>
      <c r="Z160" s="99">
        <v>250</v>
      </c>
      <c r="AA160" s="99">
        <v>200</v>
      </c>
      <c r="AB160" s="99">
        <v>250</v>
      </c>
      <c r="AC160" s="99">
        <v>250</v>
      </c>
      <c r="AD160" s="99">
        <v>0.2</v>
      </c>
      <c r="AE160" s="99" t="s">
        <v>484</v>
      </c>
      <c r="AF160" s="99" t="s">
        <v>485</v>
      </c>
      <c r="AG160" s="99"/>
      <c r="AH160" s="99"/>
      <c r="AI160" s="99"/>
    </row>
    <row r="161" spans="25:35">
      <c r="Y161" s="202" t="s">
        <v>678</v>
      </c>
      <c r="Z161" s="99">
        <v>250</v>
      </c>
      <c r="AA161" s="99">
        <v>200</v>
      </c>
      <c r="AB161" s="99">
        <v>250</v>
      </c>
      <c r="AC161" s="99">
        <v>250</v>
      </c>
      <c r="AD161" s="99">
        <v>0.2</v>
      </c>
      <c r="AE161" s="99" t="s">
        <v>484</v>
      </c>
      <c r="AF161" s="99" t="s">
        <v>485</v>
      </c>
      <c r="AG161" s="99"/>
      <c r="AH161" s="99"/>
      <c r="AI161" s="99"/>
    </row>
    <row r="162" spans="25:35">
      <c r="Y162" s="202" t="s">
        <v>679</v>
      </c>
      <c r="Z162" s="99">
        <v>250</v>
      </c>
      <c r="AA162" s="99">
        <v>200</v>
      </c>
      <c r="AB162" s="99">
        <v>250</v>
      </c>
      <c r="AC162" s="99">
        <v>250</v>
      </c>
      <c r="AD162" s="99">
        <v>0.2</v>
      </c>
      <c r="AE162" s="99" t="s">
        <v>484</v>
      </c>
      <c r="AF162" s="99" t="s">
        <v>485</v>
      </c>
      <c r="AG162" s="99"/>
      <c r="AH162" s="99"/>
      <c r="AI162" s="99"/>
    </row>
    <row r="163" spans="25:35">
      <c r="Y163" s="202" t="s">
        <v>680</v>
      </c>
      <c r="Z163" s="99">
        <v>250</v>
      </c>
      <c r="AA163" s="99">
        <v>200</v>
      </c>
      <c r="AB163" s="99">
        <v>250</v>
      </c>
      <c r="AC163" s="99">
        <v>250</v>
      </c>
      <c r="AD163" s="99">
        <v>0.2</v>
      </c>
      <c r="AE163" s="99" t="s">
        <v>484</v>
      </c>
      <c r="AF163" s="99" t="s">
        <v>485</v>
      </c>
      <c r="AG163" s="99"/>
      <c r="AH163" s="99"/>
      <c r="AI163" s="99"/>
    </row>
    <row r="164" spans="25:35">
      <c r="Y164" s="202" t="s">
        <v>681</v>
      </c>
      <c r="Z164" s="99">
        <v>250</v>
      </c>
      <c r="AA164" s="99">
        <v>200</v>
      </c>
      <c r="AB164" s="99">
        <v>250</v>
      </c>
      <c r="AC164" s="99">
        <v>250</v>
      </c>
      <c r="AD164" s="99">
        <v>0.2</v>
      </c>
      <c r="AE164" s="99" t="s">
        <v>484</v>
      </c>
      <c r="AF164" s="99" t="s">
        <v>485</v>
      </c>
      <c r="AG164" s="99"/>
      <c r="AH164" s="99"/>
      <c r="AI164" s="99"/>
    </row>
    <row r="165" spans="25:35">
      <c r="Y165" s="202" t="s">
        <v>682</v>
      </c>
      <c r="Z165" s="99">
        <v>250</v>
      </c>
      <c r="AA165" s="99">
        <v>200</v>
      </c>
      <c r="AB165" s="99">
        <v>250</v>
      </c>
      <c r="AC165" s="99">
        <v>250</v>
      </c>
      <c r="AD165" s="99">
        <v>0.2</v>
      </c>
      <c r="AE165" s="99" t="s">
        <v>484</v>
      </c>
      <c r="AF165" s="99" t="s">
        <v>485</v>
      </c>
      <c r="AG165" s="99"/>
      <c r="AH165" s="99"/>
      <c r="AI165" s="99"/>
    </row>
    <row r="166" spans="25:35">
      <c r="Y166" s="202" t="s">
        <v>683</v>
      </c>
      <c r="Z166" s="99">
        <v>250</v>
      </c>
      <c r="AA166" s="99">
        <v>200</v>
      </c>
      <c r="AB166" s="99">
        <v>250</v>
      </c>
      <c r="AC166" s="99">
        <v>250</v>
      </c>
      <c r="AD166" s="99">
        <v>0.2</v>
      </c>
      <c r="AE166" s="99" t="s">
        <v>484</v>
      </c>
      <c r="AF166" s="99" t="s">
        <v>485</v>
      </c>
      <c r="AG166" s="99"/>
      <c r="AH166" s="99"/>
      <c r="AI166" s="99"/>
    </row>
    <row r="167" spans="25:35">
      <c r="Y167" s="202" t="s">
        <v>684</v>
      </c>
      <c r="Z167" s="99">
        <v>250</v>
      </c>
      <c r="AA167" s="99">
        <v>200</v>
      </c>
      <c r="AB167" s="99">
        <v>250</v>
      </c>
      <c r="AC167" s="99">
        <v>250</v>
      </c>
      <c r="AD167" s="99">
        <v>0.2</v>
      </c>
      <c r="AE167" s="99" t="s">
        <v>484</v>
      </c>
      <c r="AF167" s="99" t="s">
        <v>485</v>
      </c>
      <c r="AG167" s="99"/>
      <c r="AH167" s="99"/>
      <c r="AI167" s="99"/>
    </row>
    <row r="168" spans="25:35">
      <c r="Y168" s="202" t="s">
        <v>685</v>
      </c>
      <c r="Z168" s="99">
        <v>250</v>
      </c>
      <c r="AA168" s="99">
        <v>200</v>
      </c>
      <c r="AB168" s="99">
        <v>250</v>
      </c>
      <c r="AC168" s="99">
        <v>250</v>
      </c>
      <c r="AD168" s="99">
        <v>0.2</v>
      </c>
      <c r="AE168" s="99" t="s">
        <v>484</v>
      </c>
      <c r="AF168" s="99" t="s">
        <v>485</v>
      </c>
      <c r="AG168" s="99"/>
      <c r="AH168" s="99"/>
      <c r="AI168" s="99"/>
    </row>
    <row r="169" spans="25:35">
      <c r="Y169" s="202" t="s">
        <v>686</v>
      </c>
      <c r="Z169" s="99">
        <v>250</v>
      </c>
      <c r="AA169" s="99">
        <v>200</v>
      </c>
      <c r="AB169" s="99">
        <v>250</v>
      </c>
      <c r="AC169" s="99">
        <v>250</v>
      </c>
      <c r="AD169" s="99">
        <v>0.2</v>
      </c>
      <c r="AE169" s="99" t="s">
        <v>484</v>
      </c>
      <c r="AF169" s="99" t="s">
        <v>485</v>
      </c>
      <c r="AG169" s="99"/>
      <c r="AH169" s="99"/>
      <c r="AI169" s="99"/>
    </row>
    <row r="170" spans="25:35">
      <c r="Y170" s="202" t="s">
        <v>687</v>
      </c>
      <c r="Z170" s="99">
        <v>250</v>
      </c>
      <c r="AA170" s="99">
        <v>200</v>
      </c>
      <c r="AB170" s="99">
        <v>250</v>
      </c>
      <c r="AC170" s="99">
        <v>250</v>
      </c>
      <c r="AD170" s="99">
        <v>0.2</v>
      </c>
      <c r="AE170" s="99" t="s">
        <v>484</v>
      </c>
      <c r="AF170" s="99" t="s">
        <v>485</v>
      </c>
      <c r="AG170" s="99"/>
      <c r="AH170" s="99"/>
      <c r="AI170" s="99"/>
    </row>
    <row r="171" spans="25:35">
      <c r="Y171" s="202" t="s">
        <v>688</v>
      </c>
      <c r="Z171" s="99">
        <v>250</v>
      </c>
      <c r="AA171" s="99">
        <v>200</v>
      </c>
      <c r="AB171" s="99">
        <v>250</v>
      </c>
      <c r="AC171" s="99">
        <v>250</v>
      </c>
      <c r="AD171" s="99">
        <v>0.2</v>
      </c>
      <c r="AE171" s="99" t="s">
        <v>484</v>
      </c>
      <c r="AF171" s="99" t="s">
        <v>485</v>
      </c>
      <c r="AG171" s="99"/>
      <c r="AH171" s="99"/>
      <c r="AI171" s="99"/>
    </row>
    <row r="172" spans="25:35">
      <c r="Y172" s="202" t="s">
        <v>689</v>
      </c>
      <c r="Z172" s="99">
        <v>250</v>
      </c>
      <c r="AA172" s="99">
        <v>200</v>
      </c>
      <c r="AB172" s="99">
        <v>250</v>
      </c>
      <c r="AC172" s="99">
        <v>250</v>
      </c>
      <c r="AD172" s="99">
        <v>0.2</v>
      </c>
      <c r="AE172" s="99" t="s">
        <v>484</v>
      </c>
      <c r="AF172" s="99" t="s">
        <v>485</v>
      </c>
      <c r="AG172" s="99"/>
      <c r="AH172" s="99"/>
      <c r="AI172" s="99"/>
    </row>
    <row r="173" spans="25:35">
      <c r="Y173" s="202" t="s">
        <v>690</v>
      </c>
      <c r="Z173" s="99">
        <v>250</v>
      </c>
      <c r="AA173" s="99">
        <v>200</v>
      </c>
      <c r="AB173" s="99">
        <v>250</v>
      </c>
      <c r="AC173" s="99">
        <v>250</v>
      </c>
      <c r="AD173" s="99">
        <v>0.2</v>
      </c>
      <c r="AE173" s="99" t="s">
        <v>484</v>
      </c>
      <c r="AF173" s="99" t="s">
        <v>485</v>
      </c>
      <c r="AG173" s="99"/>
      <c r="AH173" s="99"/>
      <c r="AI173" s="99"/>
    </row>
    <row r="174" spans="25:35">
      <c r="Y174" s="202" t="s">
        <v>691</v>
      </c>
      <c r="Z174" s="99">
        <v>250</v>
      </c>
      <c r="AA174" s="99">
        <v>200</v>
      </c>
      <c r="AB174" s="99">
        <v>250</v>
      </c>
      <c r="AC174" s="99">
        <v>250</v>
      </c>
      <c r="AD174" s="99">
        <v>0.2</v>
      </c>
      <c r="AE174" s="99" t="s">
        <v>484</v>
      </c>
      <c r="AF174" s="99" t="s">
        <v>485</v>
      </c>
      <c r="AG174" s="99"/>
      <c r="AH174" s="99"/>
      <c r="AI174" s="99"/>
    </row>
    <row r="175" spans="25:35">
      <c r="Y175" s="202" t="s">
        <v>692</v>
      </c>
      <c r="Z175" s="99">
        <v>250</v>
      </c>
      <c r="AA175" s="99">
        <v>200</v>
      </c>
      <c r="AB175" s="99">
        <v>250</v>
      </c>
      <c r="AC175" s="99">
        <v>250</v>
      </c>
      <c r="AD175" s="99">
        <v>0.2</v>
      </c>
      <c r="AE175" s="99" t="s">
        <v>484</v>
      </c>
      <c r="AF175" s="99" t="s">
        <v>485</v>
      </c>
      <c r="AG175" s="99"/>
      <c r="AH175" s="99"/>
      <c r="AI175" s="99"/>
    </row>
    <row r="176" spans="25:35">
      <c r="Y176" s="202" t="s">
        <v>693</v>
      </c>
      <c r="Z176" s="99">
        <v>250</v>
      </c>
      <c r="AA176" s="99">
        <v>200</v>
      </c>
      <c r="AB176" s="99">
        <v>250</v>
      </c>
      <c r="AC176" s="99">
        <v>250</v>
      </c>
      <c r="AD176" s="99">
        <v>0.2</v>
      </c>
      <c r="AE176" s="99" t="s">
        <v>484</v>
      </c>
      <c r="AF176" s="99" t="s">
        <v>485</v>
      </c>
      <c r="AG176" s="99"/>
      <c r="AH176" s="99"/>
      <c r="AI176" s="99"/>
    </row>
    <row r="177" spans="25:35">
      <c r="Y177" s="202" t="s">
        <v>694</v>
      </c>
      <c r="Z177" s="99">
        <v>250</v>
      </c>
      <c r="AA177" s="99">
        <v>200</v>
      </c>
      <c r="AB177" s="99">
        <v>250</v>
      </c>
      <c r="AC177" s="99">
        <v>250</v>
      </c>
      <c r="AD177" s="99">
        <v>0.2</v>
      </c>
      <c r="AE177" s="99" t="s">
        <v>484</v>
      </c>
      <c r="AF177" s="99" t="s">
        <v>485</v>
      </c>
      <c r="AG177" s="99"/>
      <c r="AH177" s="99"/>
      <c r="AI177" s="99"/>
    </row>
    <row r="178" spans="25:35">
      <c r="Y178" s="202" t="s">
        <v>695</v>
      </c>
      <c r="Z178" s="99">
        <v>250</v>
      </c>
      <c r="AA178" s="99">
        <v>200</v>
      </c>
      <c r="AB178" s="99">
        <v>250</v>
      </c>
      <c r="AC178" s="99">
        <v>250</v>
      </c>
      <c r="AD178" s="99">
        <v>0.2</v>
      </c>
      <c r="AE178" s="99" t="s">
        <v>484</v>
      </c>
      <c r="AF178" s="99" t="s">
        <v>485</v>
      </c>
      <c r="AG178" s="99"/>
      <c r="AH178" s="99"/>
      <c r="AI178" s="99"/>
    </row>
    <row r="179" spans="25:35">
      <c r="Y179" s="202" t="s">
        <v>696</v>
      </c>
      <c r="Z179" s="99">
        <v>250</v>
      </c>
      <c r="AA179" s="99">
        <v>200</v>
      </c>
      <c r="AB179" s="99">
        <v>250</v>
      </c>
      <c r="AC179" s="99">
        <v>250</v>
      </c>
      <c r="AD179" s="99">
        <v>0.2</v>
      </c>
      <c r="AE179" s="99" t="s">
        <v>484</v>
      </c>
      <c r="AF179" s="99" t="s">
        <v>485</v>
      </c>
      <c r="AG179" s="99"/>
      <c r="AH179" s="99"/>
      <c r="AI179" s="99"/>
    </row>
    <row r="180" spans="25:35">
      <c r="Y180" s="202" t="s">
        <v>697</v>
      </c>
      <c r="Z180" s="99">
        <v>250</v>
      </c>
      <c r="AA180" s="99">
        <v>200</v>
      </c>
      <c r="AB180" s="99">
        <v>250</v>
      </c>
      <c r="AC180" s="99">
        <v>250</v>
      </c>
      <c r="AD180" s="99">
        <v>0.2</v>
      </c>
      <c r="AE180" s="99" t="s">
        <v>484</v>
      </c>
      <c r="AF180" s="99" t="s">
        <v>485</v>
      </c>
      <c r="AG180" s="99"/>
      <c r="AH180" s="99"/>
      <c r="AI180" s="99"/>
    </row>
    <row r="181" spans="25:35">
      <c r="Y181" s="202" t="s">
        <v>698</v>
      </c>
      <c r="Z181" s="99">
        <v>250</v>
      </c>
      <c r="AA181" s="99">
        <v>200</v>
      </c>
      <c r="AB181" s="99">
        <v>250</v>
      </c>
      <c r="AC181" s="99">
        <v>250</v>
      </c>
      <c r="AD181" s="99">
        <v>0.2</v>
      </c>
      <c r="AE181" s="99" t="s">
        <v>484</v>
      </c>
      <c r="AF181" s="99" t="s">
        <v>485</v>
      </c>
      <c r="AG181" s="99"/>
      <c r="AH181" s="99"/>
      <c r="AI181" s="99"/>
    </row>
    <row r="182" spans="25:35">
      <c r="Y182" s="202" t="s">
        <v>699</v>
      </c>
      <c r="Z182" s="99">
        <v>250</v>
      </c>
      <c r="AA182" s="99">
        <v>200</v>
      </c>
      <c r="AB182" s="99">
        <v>250</v>
      </c>
      <c r="AC182" s="99">
        <v>250</v>
      </c>
      <c r="AD182" s="99">
        <v>0.2</v>
      </c>
      <c r="AE182" s="99" t="s">
        <v>484</v>
      </c>
      <c r="AF182" s="99" t="s">
        <v>485</v>
      </c>
      <c r="AG182" s="99"/>
      <c r="AH182" s="99"/>
      <c r="AI182" s="99"/>
    </row>
    <row r="183" spans="25:35">
      <c r="Y183" s="202" t="s">
        <v>700</v>
      </c>
      <c r="Z183" s="99">
        <v>250</v>
      </c>
      <c r="AA183" s="99">
        <v>200</v>
      </c>
      <c r="AB183" s="99">
        <v>250</v>
      </c>
      <c r="AC183" s="99">
        <v>250</v>
      </c>
      <c r="AD183" s="99">
        <v>0.2</v>
      </c>
      <c r="AE183" s="99" t="s">
        <v>484</v>
      </c>
      <c r="AF183" s="99" t="s">
        <v>485</v>
      </c>
      <c r="AG183" s="99"/>
      <c r="AH183" s="99"/>
      <c r="AI183" s="99"/>
    </row>
    <row r="184" spans="25:35" ht="45">
      <c r="Y184" s="202" t="s">
        <v>701</v>
      </c>
      <c r="Z184" s="99">
        <v>250</v>
      </c>
      <c r="AA184" s="99">
        <v>200</v>
      </c>
      <c r="AB184" s="99">
        <v>250</v>
      </c>
      <c r="AC184" s="99">
        <v>250</v>
      </c>
      <c r="AD184" s="99">
        <v>0.2</v>
      </c>
      <c r="AE184" s="99" t="s">
        <v>484</v>
      </c>
      <c r="AF184" s="99" t="s">
        <v>485</v>
      </c>
      <c r="AG184" s="99"/>
      <c r="AH184" s="99"/>
      <c r="AI184" s="99"/>
    </row>
    <row r="185" spans="25:35" ht="30">
      <c r="Y185" s="202" t="s">
        <v>702</v>
      </c>
      <c r="Z185" s="99">
        <v>250</v>
      </c>
      <c r="AA185" s="99">
        <v>200</v>
      </c>
      <c r="AB185" s="99">
        <v>250</v>
      </c>
      <c r="AC185" s="99">
        <v>250</v>
      </c>
      <c r="AD185" s="99">
        <v>0.2</v>
      </c>
      <c r="AE185" s="99" t="s">
        <v>484</v>
      </c>
      <c r="AF185" s="99" t="s">
        <v>485</v>
      </c>
      <c r="AG185" s="99"/>
      <c r="AH185" s="99"/>
      <c r="AI185" s="99"/>
    </row>
    <row r="186" spans="25:35" ht="30">
      <c r="Y186" s="202" t="s">
        <v>703</v>
      </c>
      <c r="Z186" s="99">
        <v>250</v>
      </c>
      <c r="AA186" s="99">
        <v>200</v>
      </c>
      <c r="AB186" s="99">
        <v>250</v>
      </c>
      <c r="AC186" s="99">
        <v>250</v>
      </c>
      <c r="AD186" s="99">
        <v>0.2</v>
      </c>
      <c r="AE186" s="99" t="s">
        <v>484</v>
      </c>
      <c r="AF186" s="99" t="s">
        <v>485</v>
      </c>
      <c r="AG186" s="99"/>
      <c r="AH186" s="99"/>
      <c r="AI186" s="99"/>
    </row>
    <row r="187" spans="25:35">
      <c r="Y187" s="202" t="s">
        <v>704</v>
      </c>
      <c r="Z187" s="99">
        <v>250</v>
      </c>
      <c r="AA187" s="99">
        <v>200</v>
      </c>
      <c r="AB187" s="99">
        <v>250</v>
      </c>
      <c r="AC187" s="99">
        <v>250</v>
      </c>
      <c r="AD187" s="99">
        <v>0.2</v>
      </c>
      <c r="AE187" s="99" t="s">
        <v>484</v>
      </c>
      <c r="AF187" s="99" t="s">
        <v>485</v>
      </c>
      <c r="AG187" s="99"/>
      <c r="AH187" s="99"/>
      <c r="AI187" s="99"/>
    </row>
    <row r="188" spans="25:35">
      <c r="Y188" s="202" t="s">
        <v>705</v>
      </c>
      <c r="Z188" s="99">
        <v>250</v>
      </c>
      <c r="AA188" s="99">
        <v>200</v>
      </c>
      <c r="AB188" s="99">
        <v>250</v>
      </c>
      <c r="AC188" s="99">
        <v>250</v>
      </c>
      <c r="AD188" s="99">
        <v>0.2</v>
      </c>
      <c r="AE188" s="99" t="s">
        <v>484</v>
      </c>
      <c r="AF188" s="99" t="s">
        <v>485</v>
      </c>
      <c r="AG188" s="99"/>
      <c r="AH188" s="99"/>
      <c r="AI188" s="99"/>
    </row>
    <row r="189" spans="25:35">
      <c r="Y189" s="202" t="s">
        <v>706</v>
      </c>
      <c r="Z189" s="99">
        <v>250</v>
      </c>
      <c r="AA189" s="99">
        <v>200</v>
      </c>
      <c r="AB189" s="99">
        <v>250</v>
      </c>
      <c r="AC189" s="99">
        <v>250</v>
      </c>
      <c r="AD189" s="99">
        <v>0.2</v>
      </c>
      <c r="AE189" s="99" t="s">
        <v>484</v>
      </c>
      <c r="AF189" s="99" t="s">
        <v>485</v>
      </c>
      <c r="AG189" s="99"/>
      <c r="AH189" s="99"/>
      <c r="AI189" s="99"/>
    </row>
    <row r="190" spans="25:35">
      <c r="Y190" s="202" t="s">
        <v>707</v>
      </c>
      <c r="Z190" s="99">
        <v>250</v>
      </c>
      <c r="AA190" s="99">
        <v>200</v>
      </c>
      <c r="AB190" s="99">
        <v>250</v>
      </c>
      <c r="AC190" s="99">
        <v>250</v>
      </c>
      <c r="AD190" s="99">
        <v>0.2</v>
      </c>
      <c r="AE190" s="99" t="s">
        <v>484</v>
      </c>
      <c r="AF190" s="99" t="s">
        <v>485</v>
      </c>
      <c r="AG190" s="99"/>
      <c r="AH190" s="99"/>
      <c r="AI190" s="99"/>
    </row>
    <row r="191" spans="25:35">
      <c r="Y191" s="202" t="s">
        <v>708</v>
      </c>
      <c r="Z191" s="99">
        <v>250</v>
      </c>
      <c r="AA191" s="99">
        <v>200</v>
      </c>
      <c r="AB191" s="99">
        <v>250</v>
      </c>
      <c r="AC191" s="99">
        <v>250</v>
      </c>
      <c r="AD191" s="99">
        <v>0.2</v>
      </c>
      <c r="AE191" s="99" t="s">
        <v>484</v>
      </c>
      <c r="AF191" s="99" t="s">
        <v>485</v>
      </c>
      <c r="AG191" s="99"/>
      <c r="AH191" s="99"/>
      <c r="AI191" s="99"/>
    </row>
    <row r="192" spans="25:35">
      <c r="Y192" s="202" t="s">
        <v>709</v>
      </c>
      <c r="Z192" s="99">
        <v>250</v>
      </c>
      <c r="AA192" s="99">
        <v>200</v>
      </c>
      <c r="AB192" s="99">
        <v>250</v>
      </c>
      <c r="AC192" s="99">
        <v>250</v>
      </c>
      <c r="AD192" s="99">
        <v>0.2</v>
      </c>
      <c r="AE192" s="99" t="s">
        <v>484</v>
      </c>
      <c r="AF192" s="99" t="s">
        <v>485</v>
      </c>
      <c r="AG192" s="99"/>
      <c r="AH192" s="99"/>
      <c r="AI192" s="99"/>
    </row>
    <row r="193" spans="25:35">
      <c r="Y193" s="202" t="s">
        <v>710</v>
      </c>
      <c r="Z193" s="99">
        <v>250</v>
      </c>
      <c r="AA193" s="99">
        <v>200</v>
      </c>
      <c r="AB193" s="99">
        <v>250</v>
      </c>
      <c r="AC193" s="99">
        <v>250</v>
      </c>
      <c r="AD193" s="99">
        <v>0.2</v>
      </c>
      <c r="AE193" s="99" t="s">
        <v>484</v>
      </c>
      <c r="AF193" s="99" t="s">
        <v>485</v>
      </c>
      <c r="AG193" s="99"/>
      <c r="AH193" s="99"/>
      <c r="AI193" s="99"/>
    </row>
    <row r="194" spans="25:35">
      <c r="Y194" s="202" t="s">
        <v>711</v>
      </c>
      <c r="Z194" s="99">
        <v>250</v>
      </c>
      <c r="AA194" s="99">
        <v>200</v>
      </c>
      <c r="AB194" s="99">
        <v>250</v>
      </c>
      <c r="AC194" s="99">
        <v>250</v>
      </c>
      <c r="AD194" s="99">
        <v>0.2</v>
      </c>
      <c r="AE194" s="99" t="s">
        <v>484</v>
      </c>
      <c r="AF194" s="99" t="s">
        <v>485</v>
      </c>
      <c r="AG194" s="99"/>
      <c r="AH194" s="99"/>
      <c r="AI194" s="99"/>
    </row>
    <row r="227" spans="23:35" ht="60">
      <c r="W227" s="205" t="s">
        <v>241</v>
      </c>
      <c r="X227" s="99" t="s">
        <v>712</v>
      </c>
      <c r="Y227" s="99"/>
      <c r="AG227" s="99"/>
      <c r="AH227" s="99"/>
      <c r="AI227" s="99"/>
    </row>
    <row r="228" spans="23:35" ht="45">
      <c r="W228" s="205" t="s">
        <v>713</v>
      </c>
      <c r="X228" s="99" t="s">
        <v>714</v>
      </c>
      <c r="Y228" s="99"/>
      <c r="AG228" s="99"/>
      <c r="AH228" s="99"/>
      <c r="AI228" s="99"/>
    </row>
  </sheetData>
  <sheetProtection algorithmName="SHA-512" hashValue="rqLQeadvedwYG7BVrnXbJrz6Z3XXh/Cv4BlPyVATwHCtELTButDCxypI/quHZCv6BGV0DwpdP2HtTRDA4C4bjQ==" saltValue="mxqQF7PvrDX0AzMqqBVgrg==" spinCount="100000" sheet="1" objects="1" scenarios="1"/>
  <pageMargins left="0.7" right="0.7" top="0.75" bottom="0.75" header="0.3" footer="0.3"/>
  <pageSetup paperSize="9" orientation="portrait" verticalDpi="300" r:id="rId1"/>
  <customProperties>
    <customPr name="LastActive" r:id="rId2"/>
  </customProperties>
  <tableParts count="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39"/>
  <sheetViews>
    <sheetView showGridLines="0" tabSelected="1" topLeftCell="A3" zoomScale="108" zoomScaleNormal="70" workbookViewId="0">
      <selection activeCell="C7" sqref="C7:G7"/>
    </sheetView>
  </sheetViews>
  <sheetFormatPr defaultColWidth="9" defaultRowHeight="15"/>
  <cols>
    <col min="2" max="2" width="12.42578125" customWidth="1"/>
    <col min="4" max="4" width="10.85546875" customWidth="1"/>
    <col min="5" max="5" width="8.140625" customWidth="1"/>
    <col min="6" max="6" width="10.42578125" customWidth="1"/>
    <col min="7" max="7" width="8.42578125" customWidth="1"/>
    <col min="8" max="8" width="10.5703125" customWidth="1"/>
    <col min="19" max="19" width="6.42578125" customWidth="1"/>
  </cols>
  <sheetData>
    <row r="1" spans="1:19" ht="14.25" customHeight="1">
      <c r="A1" s="404" t="s">
        <v>1</v>
      </c>
      <c r="B1" s="404"/>
      <c r="C1" s="404"/>
      <c r="D1" s="404"/>
      <c r="E1" s="20"/>
      <c r="F1" s="20"/>
      <c r="G1" s="20"/>
      <c r="H1" s="405" t="s">
        <v>2</v>
      </c>
      <c r="I1" s="405"/>
      <c r="J1" s="404" t="s">
        <v>3</v>
      </c>
      <c r="K1" s="404"/>
      <c r="L1" s="404"/>
      <c r="M1" s="404"/>
      <c r="Q1" s="20"/>
      <c r="R1" s="405" t="s">
        <v>2</v>
      </c>
      <c r="S1" s="405"/>
    </row>
    <row r="2" spans="1:19" ht="14.25" customHeight="1">
      <c r="A2" s="404"/>
      <c r="B2" s="404"/>
      <c r="C2" s="404"/>
      <c r="D2" s="404"/>
      <c r="E2" s="20"/>
      <c r="F2" s="20"/>
      <c r="G2" s="405" t="s">
        <v>4</v>
      </c>
      <c r="H2" s="405"/>
      <c r="I2" s="405"/>
      <c r="J2" s="404"/>
      <c r="K2" s="404"/>
      <c r="L2" s="404"/>
      <c r="M2" s="404"/>
      <c r="Q2" s="405" t="s">
        <v>5</v>
      </c>
      <c r="R2" s="405"/>
      <c r="S2" s="405"/>
    </row>
    <row r="3" spans="1:19" ht="21" customHeight="1">
      <c r="A3" s="404"/>
      <c r="B3" s="404"/>
      <c r="C3" s="404"/>
      <c r="D3" s="404"/>
      <c r="E3" s="20"/>
      <c r="F3" s="20"/>
      <c r="G3" s="405" t="s">
        <v>1091</v>
      </c>
      <c r="H3" s="405"/>
      <c r="I3" s="405"/>
      <c r="J3" s="404"/>
      <c r="K3" s="404"/>
      <c r="L3" s="404"/>
      <c r="M3" s="404"/>
      <c r="Q3" s="405" t="s">
        <v>1091</v>
      </c>
      <c r="R3" s="405"/>
      <c r="S3" s="405"/>
    </row>
    <row r="4" spans="1:19">
      <c r="A4" s="406" t="s">
        <v>6</v>
      </c>
      <c r="B4" s="407"/>
      <c r="C4" s="407"/>
      <c r="D4" s="407"/>
      <c r="E4" s="407"/>
      <c r="F4" s="407"/>
      <c r="G4" s="407"/>
      <c r="H4" s="407"/>
      <c r="I4" s="408"/>
      <c r="J4" s="406" t="s">
        <v>7</v>
      </c>
      <c r="K4" s="407"/>
      <c r="L4" s="407"/>
      <c r="M4" s="407"/>
      <c r="N4" s="407"/>
      <c r="O4" s="407"/>
      <c r="P4" s="407"/>
      <c r="Q4" s="407"/>
      <c r="R4" s="407"/>
      <c r="S4" s="407"/>
    </row>
    <row r="5" spans="1:19" ht="25.15" customHeight="1">
      <c r="A5" s="409" t="s">
        <v>8</v>
      </c>
      <c r="B5" s="409"/>
      <c r="C5" s="410"/>
      <c r="D5" s="411"/>
      <c r="E5" s="411"/>
      <c r="F5" s="411"/>
      <c r="G5" s="412"/>
      <c r="H5" s="79" t="s">
        <v>9</v>
      </c>
      <c r="I5" s="118" t="str">
        <f>'2-Calc. Sheet'!I6</f>
        <v>Q0</v>
      </c>
      <c r="J5" s="409" t="s">
        <v>10</v>
      </c>
      <c r="K5" s="409"/>
      <c r="L5" s="409"/>
      <c r="M5" s="98"/>
      <c r="N5" s="436" t="s">
        <v>11</v>
      </c>
      <c r="O5" s="436"/>
      <c r="P5" s="436"/>
      <c r="Q5" s="436"/>
      <c r="R5" s="436"/>
      <c r="S5" s="98"/>
    </row>
    <row r="6" spans="1:19" ht="25.15" customHeight="1">
      <c r="A6" s="409" t="s">
        <v>12</v>
      </c>
      <c r="B6" s="409"/>
      <c r="C6" s="410"/>
      <c r="D6" s="411"/>
      <c r="E6" s="411"/>
      <c r="F6" s="411"/>
      <c r="G6" s="412"/>
      <c r="H6" s="79" t="s">
        <v>13</v>
      </c>
      <c r="I6" s="51" t="s">
        <v>14</v>
      </c>
      <c r="J6" s="409" t="s">
        <v>15</v>
      </c>
      <c r="K6" s="409"/>
      <c r="L6" s="409"/>
      <c r="M6" s="98"/>
      <c r="N6" s="409" t="s">
        <v>16</v>
      </c>
      <c r="O6" s="409"/>
      <c r="P6" s="409"/>
      <c r="Q6" s="409"/>
      <c r="R6" s="409"/>
      <c r="S6" s="97"/>
    </row>
    <row r="7" spans="1:19" ht="25.15" customHeight="1">
      <c r="A7" s="389" t="s">
        <v>17</v>
      </c>
      <c r="B7" s="390"/>
      <c r="C7" s="410"/>
      <c r="D7" s="411"/>
      <c r="E7" s="411"/>
      <c r="F7" s="411"/>
      <c r="G7" s="412"/>
      <c r="H7" s="80" t="s">
        <v>18</v>
      </c>
      <c r="I7" s="53" t="s">
        <v>19</v>
      </c>
      <c r="J7" s="409" t="s">
        <v>20</v>
      </c>
      <c r="K7" s="409"/>
      <c r="L7" s="409"/>
      <c r="M7" s="409"/>
      <c r="N7" s="409"/>
      <c r="O7" s="409"/>
      <c r="P7" s="409"/>
      <c r="Q7" s="409"/>
      <c r="R7" s="409"/>
      <c r="S7" s="98" t="s">
        <v>21</v>
      </c>
    </row>
    <row r="8" spans="1:19" ht="25.15" customHeight="1">
      <c r="A8" s="389" t="s">
        <v>22</v>
      </c>
      <c r="B8" s="390"/>
      <c r="C8" s="410" t="s">
        <v>23</v>
      </c>
      <c r="D8" s="412"/>
      <c r="E8" s="410" t="s">
        <v>24</v>
      </c>
      <c r="F8" s="412"/>
      <c r="G8" s="413" t="s">
        <v>25</v>
      </c>
      <c r="H8" s="414"/>
      <c r="I8" s="415"/>
      <c r="J8" s="409" t="s">
        <v>26</v>
      </c>
      <c r="K8" s="409"/>
      <c r="L8" s="409"/>
      <c r="M8" s="409"/>
      <c r="N8" s="98" t="s">
        <v>21</v>
      </c>
      <c r="O8" s="462"/>
      <c r="P8" s="462"/>
      <c r="Q8" s="462"/>
      <c r="R8" s="462"/>
      <c r="S8" s="462"/>
    </row>
    <row r="9" spans="1:19" ht="25.15" customHeight="1">
      <c r="A9" s="389" t="s">
        <v>27</v>
      </c>
      <c r="B9" s="390"/>
      <c r="C9" s="381" t="s">
        <v>28</v>
      </c>
      <c r="D9" s="381"/>
      <c r="E9" s="381" t="s">
        <v>29</v>
      </c>
      <c r="F9" s="381"/>
      <c r="G9" s="382" t="s">
        <v>30</v>
      </c>
      <c r="H9" s="383"/>
      <c r="I9" s="383"/>
      <c r="J9" s="389" t="s">
        <v>31</v>
      </c>
      <c r="K9" s="446"/>
      <c r="L9" s="446"/>
      <c r="M9" s="446"/>
      <c r="N9" s="446"/>
      <c r="O9" s="446"/>
      <c r="P9" s="446"/>
      <c r="Q9" s="446"/>
      <c r="R9" s="390"/>
      <c r="S9" s="98" t="s">
        <v>21</v>
      </c>
    </row>
    <row r="10" spans="1:19" ht="25.15" customHeight="1">
      <c r="A10" s="387" t="s">
        <v>32</v>
      </c>
      <c r="B10" s="388"/>
      <c r="C10" s="315"/>
      <c r="D10" s="112" t="s">
        <v>33</v>
      </c>
      <c r="E10" s="265">
        <v>1</v>
      </c>
      <c r="F10" s="112" t="s">
        <v>34</v>
      </c>
      <c r="G10" s="265">
        <v>8</v>
      </c>
      <c r="H10" s="112" t="s">
        <v>35</v>
      </c>
      <c r="I10" s="265">
        <v>1</v>
      </c>
      <c r="J10" s="465" t="s">
        <v>36</v>
      </c>
      <c r="K10" s="466"/>
      <c r="L10" s="466"/>
      <c r="M10" s="466"/>
      <c r="N10" s="466"/>
      <c r="O10" s="466"/>
      <c r="P10" s="466"/>
      <c r="Q10" s="466"/>
      <c r="R10" s="466"/>
      <c r="S10" s="467"/>
    </row>
    <row r="11" spans="1:19" s="289" customFormat="1" ht="25.15" customHeight="1">
      <c r="A11" s="399" t="s">
        <v>37</v>
      </c>
      <c r="B11" s="400"/>
      <c r="C11" s="315"/>
      <c r="D11" s="284" t="s">
        <v>33</v>
      </c>
      <c r="E11" s="285">
        <v>1</v>
      </c>
      <c r="F11" s="284" t="s">
        <v>34</v>
      </c>
      <c r="G11" s="285">
        <v>8</v>
      </c>
      <c r="H11" s="284" t="s">
        <v>35</v>
      </c>
      <c r="I11" s="285">
        <v>1</v>
      </c>
      <c r="J11" s="286"/>
      <c r="K11" s="287"/>
      <c r="L11" s="287"/>
      <c r="M11" s="287"/>
      <c r="N11" s="287"/>
      <c r="O11" s="287"/>
      <c r="P11" s="287"/>
      <c r="Q11" s="287"/>
      <c r="R11" s="287"/>
      <c r="S11" s="288"/>
    </row>
    <row r="12" spans="1:19" ht="25.15" customHeight="1">
      <c r="A12" s="434" t="s">
        <v>38</v>
      </c>
      <c r="B12" s="435"/>
      <c r="C12" s="395">
        <f>E12+G12+I12</f>
        <v>0</v>
      </c>
      <c r="D12" s="397" t="s">
        <v>39</v>
      </c>
      <c r="E12" s="386">
        <v>0</v>
      </c>
      <c r="F12" s="84" t="s">
        <v>40</v>
      </c>
      <c r="G12" s="265">
        <v>0</v>
      </c>
      <c r="H12" s="84" t="s">
        <v>41</v>
      </c>
      <c r="I12" s="265">
        <v>0</v>
      </c>
      <c r="J12" s="443" t="s">
        <v>42</v>
      </c>
      <c r="K12" s="444"/>
      <c r="L12" s="444"/>
      <c r="M12" s="439"/>
      <c r="N12" s="98" t="s">
        <v>43</v>
      </c>
      <c r="O12" s="468"/>
      <c r="P12" s="469"/>
      <c r="Q12" s="469"/>
      <c r="R12" s="469"/>
      <c r="S12" s="470"/>
    </row>
    <row r="13" spans="1:19" ht="25.15" customHeight="1">
      <c r="A13" s="393"/>
      <c r="B13" s="394"/>
      <c r="C13" s="395"/>
      <c r="D13" s="398"/>
      <c r="E13" s="386"/>
      <c r="F13" s="85" t="s">
        <v>44</v>
      </c>
      <c r="G13" s="111">
        <v>8</v>
      </c>
      <c r="H13" s="85" t="s">
        <v>45</v>
      </c>
      <c r="I13" s="111">
        <v>365</v>
      </c>
      <c r="J13" s="438" t="s">
        <v>46</v>
      </c>
      <c r="K13" s="444"/>
      <c r="L13" s="444"/>
      <c r="M13" s="444"/>
      <c r="N13" s="444"/>
      <c r="O13" s="444"/>
      <c r="P13" s="444"/>
      <c r="Q13" s="444"/>
      <c r="R13" s="444"/>
      <c r="S13" s="98" t="s">
        <v>21</v>
      </c>
    </row>
    <row r="14" spans="1:19" ht="25.15" customHeight="1">
      <c r="A14" s="391" t="s">
        <v>47</v>
      </c>
      <c r="B14" s="392"/>
      <c r="C14" s="395">
        <f>E14+G14+I14</f>
        <v>0</v>
      </c>
      <c r="D14" s="384" t="s">
        <v>39</v>
      </c>
      <c r="E14" s="386">
        <v>0</v>
      </c>
      <c r="F14" s="86" t="s">
        <v>40</v>
      </c>
      <c r="G14" s="111">
        <v>0</v>
      </c>
      <c r="H14" s="86" t="s">
        <v>41</v>
      </c>
      <c r="I14" s="111">
        <v>0</v>
      </c>
      <c r="J14" s="436" t="s">
        <v>48</v>
      </c>
      <c r="K14" s="436"/>
      <c r="L14" s="436"/>
      <c r="M14" s="410"/>
      <c r="N14" s="411"/>
      <c r="O14" s="411"/>
      <c r="P14" s="412"/>
      <c r="Q14" s="87" t="s">
        <v>49</v>
      </c>
      <c r="R14" s="463"/>
      <c r="S14" s="463"/>
    </row>
    <row r="15" spans="1:19" ht="25.15" customHeight="1">
      <c r="A15" s="393"/>
      <c r="B15" s="394"/>
      <c r="C15" s="396"/>
      <c r="D15" s="385"/>
      <c r="E15" s="386"/>
      <c r="F15" s="88" t="s">
        <v>44</v>
      </c>
      <c r="G15" s="111">
        <v>8</v>
      </c>
      <c r="H15" s="86" t="s">
        <v>45</v>
      </c>
      <c r="I15" s="111">
        <v>365</v>
      </c>
      <c r="J15" s="436" t="s">
        <v>50</v>
      </c>
      <c r="K15" s="436"/>
      <c r="L15" s="436"/>
      <c r="M15" s="445"/>
      <c r="N15" s="445"/>
      <c r="O15" s="445"/>
      <c r="P15" s="445"/>
      <c r="Q15" s="87" t="s">
        <v>51</v>
      </c>
      <c r="R15" s="464"/>
      <c r="S15" s="464"/>
    </row>
    <row r="16" spans="1:19">
      <c r="A16" s="13"/>
      <c r="H16" s="109"/>
      <c r="I16" s="110"/>
      <c r="R16" s="89"/>
      <c r="S16" s="89"/>
    </row>
    <row r="17" spans="1:19">
      <c r="A17" s="431" t="s">
        <v>52</v>
      </c>
      <c r="B17" s="432"/>
      <c r="C17" s="432"/>
      <c r="D17" s="432"/>
      <c r="E17" s="432"/>
      <c r="F17" s="432"/>
      <c r="G17" s="432"/>
      <c r="H17" s="432"/>
      <c r="I17" s="433"/>
      <c r="J17" s="431" t="s">
        <v>53</v>
      </c>
      <c r="K17" s="432"/>
      <c r="L17" s="432"/>
      <c r="M17" s="432"/>
      <c r="N17" s="432"/>
      <c r="O17" s="432"/>
      <c r="P17" s="432"/>
      <c r="Q17" s="432"/>
      <c r="R17" s="432"/>
      <c r="S17" s="432"/>
    </row>
    <row r="18" spans="1:19" ht="29.25" customHeight="1">
      <c r="A18" s="436" t="s">
        <v>54</v>
      </c>
      <c r="B18" s="436"/>
      <c r="C18" s="410" t="s">
        <v>952</v>
      </c>
      <c r="D18" s="411"/>
      <c r="E18" s="411"/>
      <c r="F18" s="411"/>
      <c r="G18" s="412"/>
      <c r="H18" s="266" t="s">
        <v>56</v>
      </c>
      <c r="I18" s="207" t="s">
        <v>57</v>
      </c>
      <c r="J18" s="497" t="s">
        <v>58</v>
      </c>
      <c r="K18" s="497"/>
      <c r="L18" s="497"/>
      <c r="M18" s="497"/>
      <c r="N18" s="497"/>
      <c r="O18" s="497"/>
      <c r="P18" s="497"/>
      <c r="Q18" s="497"/>
      <c r="R18" s="497"/>
      <c r="S18" s="497"/>
    </row>
    <row r="19" spans="1:19" ht="25.15" customHeight="1">
      <c r="A19" s="438" t="s">
        <v>59</v>
      </c>
      <c r="B19" s="439"/>
      <c r="C19" s="262" t="s">
        <v>385</v>
      </c>
      <c r="D19" s="411" t="s">
        <v>61</v>
      </c>
      <c r="E19" s="411"/>
      <c r="F19" s="411"/>
      <c r="G19" s="412"/>
      <c r="H19" s="266" t="s">
        <v>62</v>
      </c>
      <c r="I19" s="26" t="s">
        <v>63</v>
      </c>
      <c r="J19" s="497"/>
      <c r="K19" s="497"/>
      <c r="L19" s="497"/>
      <c r="M19" s="497"/>
      <c r="N19" s="497"/>
      <c r="O19" s="497"/>
      <c r="P19" s="497"/>
      <c r="Q19" s="497"/>
      <c r="R19" s="497"/>
      <c r="S19" s="497"/>
    </row>
    <row r="20" spans="1:19" ht="25.15" customHeight="1">
      <c r="A20" s="377" t="s">
        <v>359</v>
      </c>
      <c r="B20" s="377"/>
      <c r="C20" s="410"/>
      <c r="D20" s="411"/>
      <c r="E20" s="411"/>
      <c r="F20" s="411"/>
      <c r="G20" s="411"/>
      <c r="H20" s="441" t="str">
        <f>IF(ISBLANK(C20)," ","plz go to Mutli-Site sheet for other sites")</f>
        <v xml:space="preserve"> </v>
      </c>
      <c r="I20" s="442"/>
      <c r="J20" s="497"/>
      <c r="K20" s="497"/>
      <c r="L20" s="497"/>
      <c r="M20" s="497"/>
      <c r="N20" s="497"/>
      <c r="O20" s="497"/>
      <c r="P20" s="497"/>
      <c r="Q20" s="497"/>
      <c r="R20" s="497"/>
      <c r="S20" s="497"/>
    </row>
    <row r="21" spans="1:19" ht="25.15" customHeight="1">
      <c r="A21" s="437" t="s">
        <v>1055</v>
      </c>
      <c r="B21" s="437"/>
      <c r="C21" s="401"/>
      <c r="D21" s="402"/>
      <c r="E21" s="402"/>
      <c r="F21" s="402"/>
      <c r="G21" s="403"/>
      <c r="H21" s="90" t="s">
        <v>65</v>
      </c>
      <c r="I21" s="313" t="s">
        <v>66</v>
      </c>
      <c r="J21" s="436" t="s">
        <v>67</v>
      </c>
      <c r="K21" s="436"/>
      <c r="L21" s="436"/>
      <c r="M21" s="410">
        <f>C7</f>
        <v>0</v>
      </c>
      <c r="N21" s="411"/>
      <c r="O21" s="411"/>
      <c r="P21" s="411"/>
      <c r="Q21" s="411"/>
      <c r="R21" s="411"/>
      <c r="S21" s="412"/>
    </row>
    <row r="22" spans="1:19" ht="25.15" customHeight="1">
      <c r="A22" s="377" t="s">
        <v>68</v>
      </c>
      <c r="B22" s="377"/>
      <c r="C22" s="499"/>
      <c r="D22" s="500"/>
      <c r="E22" s="500"/>
      <c r="F22" s="500"/>
      <c r="G22" s="501"/>
      <c r="H22" s="90" t="s">
        <v>65</v>
      </c>
      <c r="I22" s="95" t="s">
        <v>66</v>
      </c>
      <c r="J22" s="498" t="s">
        <v>69</v>
      </c>
      <c r="K22" s="436"/>
      <c r="L22" s="436"/>
      <c r="M22" s="410"/>
      <c r="N22" s="411"/>
      <c r="O22" s="411"/>
      <c r="P22" s="412"/>
      <c r="Q22" s="91" t="s">
        <v>70</v>
      </c>
      <c r="R22" s="471"/>
      <c r="S22" s="472"/>
    </row>
    <row r="23" spans="1:19" ht="31.5" customHeight="1">
      <c r="A23" s="377" t="s">
        <v>71</v>
      </c>
      <c r="B23" s="377"/>
      <c r="C23" s="499"/>
      <c r="D23" s="500"/>
      <c r="E23" s="500"/>
      <c r="F23" s="500"/>
      <c r="G23" s="501"/>
      <c r="H23" s="90" t="s">
        <v>65</v>
      </c>
      <c r="I23" s="95" t="s">
        <v>66</v>
      </c>
      <c r="J23" s="3"/>
      <c r="K23" s="3"/>
      <c r="L23" s="3"/>
      <c r="M23" s="3"/>
      <c r="N23" s="3"/>
      <c r="O23" s="3"/>
      <c r="P23" s="3"/>
      <c r="Q23" s="3"/>
      <c r="R23" s="3"/>
      <c r="S23" s="3"/>
    </row>
    <row r="24" spans="1:19" ht="37.5" customHeight="1">
      <c r="A24" s="377" t="s">
        <v>72</v>
      </c>
      <c r="B24" s="377"/>
      <c r="C24" s="378"/>
      <c r="D24" s="379"/>
      <c r="E24" s="379"/>
      <c r="F24" s="379"/>
      <c r="G24" s="380"/>
      <c r="H24" s="90" t="s">
        <v>65</v>
      </c>
      <c r="I24" s="95" t="s">
        <v>66</v>
      </c>
      <c r="J24" s="431" t="s">
        <v>73</v>
      </c>
      <c r="K24" s="432"/>
      <c r="L24" s="432"/>
      <c r="M24" s="432"/>
      <c r="N24" s="432"/>
      <c r="O24" s="432"/>
      <c r="P24" s="432"/>
      <c r="Q24" s="432"/>
      <c r="R24" s="432"/>
      <c r="S24" s="432"/>
    </row>
    <row r="25" spans="1:19" ht="30" customHeight="1">
      <c r="A25" s="436" t="s">
        <v>74</v>
      </c>
      <c r="B25" s="436"/>
      <c r="C25" s="494" t="s">
        <v>75</v>
      </c>
      <c r="D25" s="495"/>
      <c r="E25" s="495"/>
      <c r="F25" s="495"/>
      <c r="G25" s="495"/>
      <c r="H25" s="495"/>
      <c r="I25" s="496"/>
      <c r="J25" s="491" t="s">
        <v>76</v>
      </c>
      <c r="K25" s="492"/>
      <c r="L25" s="492"/>
      <c r="M25" s="492"/>
      <c r="N25" s="492"/>
      <c r="O25" s="492"/>
      <c r="P25" s="492"/>
      <c r="Q25" s="492"/>
      <c r="R25" s="492"/>
      <c r="S25" s="493"/>
    </row>
    <row r="26" spans="1:19" ht="14.25" customHeight="1">
      <c r="A26" s="92"/>
      <c r="B26" s="3"/>
      <c r="C26" s="3"/>
      <c r="D26" s="3"/>
      <c r="E26" s="3"/>
      <c r="F26" s="3"/>
      <c r="G26" s="3"/>
      <c r="H26" s="3"/>
      <c r="I26" s="93"/>
      <c r="J26" s="121"/>
      <c r="K26" s="122"/>
      <c r="L26" s="122"/>
      <c r="M26" s="122"/>
      <c r="N26" s="122"/>
      <c r="O26" s="122"/>
      <c r="P26" s="122"/>
      <c r="Q26" s="122"/>
      <c r="R26" s="122"/>
      <c r="S26" s="122"/>
    </row>
    <row r="27" spans="1:19">
      <c r="A27" s="431" t="s">
        <v>77</v>
      </c>
      <c r="B27" s="432"/>
      <c r="C27" s="432"/>
      <c r="D27" s="432"/>
      <c r="E27" s="432"/>
      <c r="F27" s="432"/>
      <c r="G27" s="432"/>
      <c r="H27" s="432"/>
      <c r="I27" s="433"/>
      <c r="J27" s="431" t="s">
        <v>78</v>
      </c>
      <c r="K27" s="432"/>
      <c r="L27" s="432"/>
      <c r="M27" s="432"/>
      <c r="N27" s="432"/>
      <c r="O27" s="432"/>
      <c r="P27" s="432"/>
      <c r="Q27" s="432"/>
      <c r="R27" s="432"/>
      <c r="S27" s="432"/>
    </row>
    <row r="28" spans="1:19" ht="14.25" customHeight="1">
      <c r="A28" s="440" t="s">
        <v>79</v>
      </c>
      <c r="B28" s="440"/>
      <c r="C28" s="440"/>
      <c r="D28" s="440"/>
      <c r="E28" s="440"/>
      <c r="F28" s="440"/>
      <c r="G28" s="440"/>
      <c r="H28" s="440"/>
      <c r="I28" s="96" t="s">
        <v>21</v>
      </c>
      <c r="J28" s="487" t="s">
        <v>80</v>
      </c>
      <c r="K28" s="488"/>
      <c r="L28" s="450"/>
      <c r="M28" s="451"/>
      <c r="N28" s="451"/>
      <c r="O28" s="451"/>
      <c r="P28" s="451"/>
      <c r="Q28" s="451"/>
      <c r="R28" s="451"/>
      <c r="S28" s="452"/>
    </row>
    <row r="29" spans="1:19">
      <c r="A29" s="416" t="s">
        <v>81</v>
      </c>
      <c r="B29" s="417"/>
      <c r="C29" s="417"/>
      <c r="D29" s="422"/>
      <c r="E29" s="423"/>
      <c r="F29" s="423"/>
      <c r="G29" s="423"/>
      <c r="H29" s="423"/>
      <c r="I29" s="423"/>
      <c r="J29" s="487"/>
      <c r="K29" s="488"/>
      <c r="L29" s="450"/>
      <c r="M29" s="451"/>
      <c r="N29" s="451"/>
      <c r="O29" s="451"/>
      <c r="P29" s="451"/>
      <c r="Q29" s="451"/>
      <c r="R29" s="451"/>
      <c r="S29" s="452"/>
    </row>
    <row r="30" spans="1:19">
      <c r="A30" s="419"/>
      <c r="B30" s="420"/>
      <c r="C30" s="420"/>
      <c r="D30" s="424"/>
      <c r="E30" s="425"/>
      <c r="F30" s="425"/>
      <c r="G30" s="425"/>
      <c r="H30" s="425"/>
      <c r="I30" s="426"/>
      <c r="J30" s="487"/>
      <c r="K30" s="488"/>
      <c r="L30" s="450"/>
      <c r="M30" s="451"/>
      <c r="N30" s="451"/>
      <c r="O30" s="451"/>
      <c r="P30" s="451"/>
      <c r="Q30" s="451"/>
      <c r="R30" s="451"/>
      <c r="S30" s="452"/>
    </row>
    <row r="31" spans="1:19">
      <c r="A31" s="416" t="s">
        <v>82</v>
      </c>
      <c r="B31" s="417"/>
      <c r="C31" s="418"/>
      <c r="D31" s="422"/>
      <c r="E31" s="423"/>
      <c r="F31" s="423"/>
      <c r="G31" s="423"/>
      <c r="H31" s="423"/>
      <c r="I31" s="427"/>
      <c r="J31" s="487"/>
      <c r="K31" s="488"/>
      <c r="L31" s="450"/>
      <c r="M31" s="451"/>
      <c r="N31" s="451"/>
      <c r="O31" s="451"/>
      <c r="P31" s="451"/>
      <c r="Q31" s="451"/>
      <c r="R31" s="451"/>
      <c r="S31" s="452"/>
    </row>
    <row r="32" spans="1:19" ht="14.65" customHeight="1">
      <c r="A32" s="419"/>
      <c r="B32" s="420"/>
      <c r="C32" s="421"/>
      <c r="D32" s="428"/>
      <c r="E32" s="429"/>
      <c r="F32" s="429"/>
      <c r="G32" s="429"/>
      <c r="H32" s="429"/>
      <c r="I32" s="430"/>
      <c r="J32" s="487"/>
      <c r="K32" s="488"/>
      <c r="L32" s="450"/>
      <c r="M32" s="451"/>
      <c r="N32" s="451"/>
      <c r="O32" s="451"/>
      <c r="P32" s="451"/>
      <c r="Q32" s="451"/>
      <c r="R32" s="451"/>
      <c r="S32" s="452"/>
    </row>
    <row r="33" spans="1:19">
      <c r="A33" s="416" t="s">
        <v>83</v>
      </c>
      <c r="B33" s="417"/>
      <c r="C33" s="418"/>
      <c r="D33" s="456" t="s">
        <v>84</v>
      </c>
      <c r="E33" s="458"/>
      <c r="F33" s="459"/>
      <c r="G33" s="456" t="s">
        <v>85</v>
      </c>
      <c r="H33" s="458"/>
      <c r="I33" s="459"/>
      <c r="J33" s="489"/>
      <c r="K33" s="490"/>
      <c r="L33" s="453"/>
      <c r="M33" s="454"/>
      <c r="N33" s="454"/>
      <c r="O33" s="454"/>
      <c r="P33" s="454"/>
      <c r="Q33" s="454"/>
      <c r="R33" s="454"/>
      <c r="S33" s="455"/>
    </row>
    <row r="34" spans="1:19">
      <c r="A34" s="419"/>
      <c r="B34" s="420"/>
      <c r="C34" s="421"/>
      <c r="D34" s="457"/>
      <c r="E34" s="460"/>
      <c r="F34" s="461"/>
      <c r="G34" s="457"/>
      <c r="H34" s="460"/>
      <c r="I34" s="461"/>
      <c r="J34" s="478" t="s">
        <v>86</v>
      </c>
      <c r="K34" s="479"/>
      <c r="L34" s="484" t="s">
        <v>87</v>
      </c>
      <c r="M34" s="484"/>
      <c r="N34" s="484"/>
      <c r="O34" s="484"/>
      <c r="P34" s="484"/>
      <c r="Q34" s="474" t="s">
        <v>88</v>
      </c>
      <c r="R34" s="476" t="s">
        <v>89</v>
      </c>
      <c r="S34" s="476"/>
    </row>
    <row r="35" spans="1:19">
      <c r="A35" s="92"/>
      <c r="B35" s="3"/>
      <c r="C35" s="3"/>
      <c r="D35" s="3"/>
      <c r="E35" s="3"/>
      <c r="F35" s="3"/>
      <c r="G35" s="3"/>
      <c r="H35" s="3"/>
      <c r="I35" s="93"/>
      <c r="J35" s="480"/>
      <c r="K35" s="481"/>
      <c r="L35" s="485"/>
      <c r="M35" s="485"/>
      <c r="N35" s="485"/>
      <c r="O35" s="485"/>
      <c r="P35" s="485"/>
      <c r="Q35" s="475"/>
      <c r="R35" s="477"/>
      <c r="S35" s="477"/>
    </row>
    <row r="36" spans="1:19">
      <c r="A36" s="431" t="s">
        <v>90</v>
      </c>
      <c r="B36" s="432"/>
      <c r="C36" s="432"/>
      <c r="D36" s="432"/>
      <c r="E36" s="432"/>
      <c r="F36" s="432"/>
      <c r="G36" s="432"/>
      <c r="H36" s="432"/>
      <c r="I36" s="433"/>
      <c r="J36" s="482"/>
      <c r="K36" s="483"/>
      <c r="L36" s="486"/>
      <c r="M36" s="486"/>
      <c r="N36" s="486"/>
      <c r="O36" s="486"/>
      <c r="P36" s="486"/>
      <c r="Q36" s="94" t="s">
        <v>70</v>
      </c>
      <c r="R36" s="473"/>
      <c r="S36" s="473"/>
    </row>
    <row r="37" spans="1:19">
      <c r="A37" s="447"/>
      <c r="B37" s="448"/>
      <c r="C37" s="448"/>
      <c r="D37" s="448"/>
      <c r="E37" s="448"/>
      <c r="F37" s="448"/>
      <c r="G37" s="448"/>
      <c r="H37" s="448"/>
      <c r="I37" s="449"/>
    </row>
    <row r="38" spans="1:19">
      <c r="A38" s="450"/>
      <c r="B38" s="451"/>
      <c r="C38" s="451"/>
      <c r="D38" s="451"/>
      <c r="E38" s="451"/>
      <c r="F38" s="451"/>
      <c r="G38" s="451"/>
      <c r="H38" s="451"/>
      <c r="I38" s="452"/>
    </row>
    <row r="39" spans="1:19">
      <c r="A39" s="453"/>
      <c r="B39" s="454"/>
      <c r="C39" s="454"/>
      <c r="D39" s="454"/>
      <c r="E39" s="454"/>
      <c r="F39" s="454"/>
      <c r="G39" s="454"/>
      <c r="H39" s="454"/>
      <c r="I39" s="455"/>
    </row>
  </sheetData>
  <sheetProtection algorithmName="SHA-512" hashValue="+fzQlK0r8ue5NQndOL5JBcXKpau29WczeCehakDYQ0jN2w/+vNX7TO9ijaOK2UeBL9YWFvY+9syUUoAkM/Po6w==" saltValue="3TfwItIDajysphpCwUd9kg==" spinCount="100000" sheet="1" formatCells="0" formatColumns="0" formatRows="0" selectLockedCells="1"/>
  <dataConsolidate function="varp">
    <dataRefs count="1">
      <dataRef ref="C1:C1048576" sheet="Classification" r:id="rId1"/>
    </dataRefs>
  </dataConsolidate>
  <mergeCells count="100">
    <mergeCell ref="C25:I25"/>
    <mergeCell ref="C18:G18"/>
    <mergeCell ref="D19:G19"/>
    <mergeCell ref="M22:P22"/>
    <mergeCell ref="J18:S20"/>
    <mergeCell ref="J21:L21"/>
    <mergeCell ref="J22:L22"/>
    <mergeCell ref="C22:G22"/>
    <mergeCell ref="C23:G23"/>
    <mergeCell ref="J27:S27"/>
    <mergeCell ref="M21:S21"/>
    <mergeCell ref="R22:S22"/>
    <mergeCell ref="R36:S36"/>
    <mergeCell ref="Q34:Q35"/>
    <mergeCell ref="R34:S35"/>
    <mergeCell ref="J24:S24"/>
    <mergeCell ref="J34:K36"/>
    <mergeCell ref="L34:P36"/>
    <mergeCell ref="J28:K33"/>
    <mergeCell ref="L28:S33"/>
    <mergeCell ref="J25:S25"/>
    <mergeCell ref="J17:S17"/>
    <mergeCell ref="J7:R7"/>
    <mergeCell ref="J5:L5"/>
    <mergeCell ref="J6:L6"/>
    <mergeCell ref="N5:R5"/>
    <mergeCell ref="N6:R6"/>
    <mergeCell ref="J13:R13"/>
    <mergeCell ref="J8:M8"/>
    <mergeCell ref="O8:S8"/>
    <mergeCell ref="J14:L14"/>
    <mergeCell ref="J15:L15"/>
    <mergeCell ref="R14:S14"/>
    <mergeCell ref="R15:S15"/>
    <mergeCell ref="M14:P14"/>
    <mergeCell ref="J10:S10"/>
    <mergeCell ref="O12:S12"/>
    <mergeCell ref="J12:M12"/>
    <mergeCell ref="M15:P15"/>
    <mergeCell ref="J9:R9"/>
    <mergeCell ref="A37:I39"/>
    <mergeCell ref="R1:S1"/>
    <mergeCell ref="Q2:S2"/>
    <mergeCell ref="Q3:S3"/>
    <mergeCell ref="A36:I36"/>
    <mergeCell ref="J1:M3"/>
    <mergeCell ref="J4:S4"/>
    <mergeCell ref="A33:C34"/>
    <mergeCell ref="G33:G34"/>
    <mergeCell ref="D33:D34"/>
    <mergeCell ref="E33:F34"/>
    <mergeCell ref="H33:I34"/>
    <mergeCell ref="A29:C30"/>
    <mergeCell ref="A31:C32"/>
    <mergeCell ref="D29:I30"/>
    <mergeCell ref="D31:I32"/>
    <mergeCell ref="A17:I17"/>
    <mergeCell ref="A12:B13"/>
    <mergeCell ref="C12:C13"/>
    <mergeCell ref="E12:E13"/>
    <mergeCell ref="A18:B18"/>
    <mergeCell ref="A21:B21"/>
    <mergeCell ref="A19:B19"/>
    <mergeCell ref="A20:B20"/>
    <mergeCell ref="A25:B25"/>
    <mergeCell ref="A27:I27"/>
    <mergeCell ref="A28:H28"/>
    <mergeCell ref="H20:I20"/>
    <mergeCell ref="C20:G20"/>
    <mergeCell ref="A1:D3"/>
    <mergeCell ref="A7:B7"/>
    <mergeCell ref="A8:B8"/>
    <mergeCell ref="H1:I1"/>
    <mergeCell ref="G2:I2"/>
    <mergeCell ref="G3:I3"/>
    <mergeCell ref="A4:I4"/>
    <mergeCell ref="A5:B5"/>
    <mergeCell ref="A6:B6"/>
    <mergeCell ref="C5:G5"/>
    <mergeCell ref="C6:G6"/>
    <mergeCell ref="C7:G7"/>
    <mergeCell ref="C8:D8"/>
    <mergeCell ref="E8:F8"/>
    <mergeCell ref="G8:I8"/>
    <mergeCell ref="A22:B22"/>
    <mergeCell ref="A23:B23"/>
    <mergeCell ref="A24:B24"/>
    <mergeCell ref="C24:G24"/>
    <mergeCell ref="E9:F9"/>
    <mergeCell ref="G9:I9"/>
    <mergeCell ref="D14:D15"/>
    <mergeCell ref="E14:E15"/>
    <mergeCell ref="A10:B10"/>
    <mergeCell ref="A9:B9"/>
    <mergeCell ref="A14:B15"/>
    <mergeCell ref="C14:C15"/>
    <mergeCell ref="C9:D9"/>
    <mergeCell ref="D12:D13"/>
    <mergeCell ref="A11:B11"/>
    <mergeCell ref="C21:G21"/>
  </mergeCells>
  <conditionalFormatting sqref="I21:I24">
    <cfRule type="cellIs" dxfId="76" priority="1" operator="equal">
      <formula>"ACCREDIA"</formula>
    </cfRule>
    <cfRule type="containsText" dxfId="75" priority="14" operator="containsText" text="Non-Accredit">
      <formula>NOT(ISERROR(SEARCH("Non-Accredit",I21)))</formula>
    </cfRule>
  </conditionalFormatting>
  <conditionalFormatting sqref="R34:S35">
    <cfRule type="containsText" dxfId="74" priority="2" operator="containsText" text="Create PRJ.">
      <formula>NOT(ISERROR(SEARCH("Create PRJ.",R34)))</formula>
    </cfRule>
  </conditionalFormatting>
  <dataValidations xWindow="1296" yWindow="1349" count="14">
    <dataValidation allowBlank="1" showInputMessage="1" showErrorMessage="1" promptTitle="No. of part time employees" sqref="E12" xr:uid="{00000000-0002-0000-0100-000000000000}"/>
    <dataValidation allowBlank="1" showInputMessage="1" showErrorMessage="1" promptTitle="C.C.N." prompt="Client Code Number" sqref="I5" xr:uid="{00000000-0002-0000-0100-000001000000}"/>
    <dataValidation type="whole" operator="greaterThanOrEqual" allowBlank="1" showInputMessage="1" showErrorMessage="1" sqref="E10:E11" xr:uid="{00000000-0002-0000-0100-000002000000}">
      <formula1>1</formula1>
    </dataValidation>
    <dataValidation type="whole" allowBlank="1" showInputMessage="1" showErrorMessage="1" errorTitle="INFO." error="Should be less than or equal the Shift Hours" sqref="G15" xr:uid="{00000000-0002-0000-0100-000003000000}">
      <formula1>1</formula1>
      <formula2>G10</formula2>
    </dataValidation>
    <dataValidation type="whole" allowBlank="1" showInputMessage="1" showErrorMessage="1" sqref="G10:G11" xr:uid="{00000000-0002-0000-0100-000004000000}">
      <formula1>1</formula1>
      <formula2>12</formula2>
    </dataValidation>
    <dataValidation type="list" allowBlank="1" showInputMessage="1" showErrorMessage="1" sqref="I18" xr:uid="{00000000-0002-0000-0100-000005000000}">
      <formula1>"Seperatly, Combined, Integrated"</formula1>
    </dataValidation>
    <dataValidation type="list" allowBlank="1" showInputMessage="1" showErrorMessage="1" sqref="I28 S9 N8 S7 S13 N12" xr:uid="{00000000-0002-0000-0100-000006000000}">
      <formula1>"Yes, No"</formula1>
    </dataValidation>
    <dataValidation type="whole" allowBlank="1" showErrorMessage="1" errorTitle="INFO." error="Should not be more than 365 per year." sqref="I15" xr:uid="{00000000-0002-0000-0100-000007000000}">
      <formula1>1</formula1>
      <formula2>365</formula2>
    </dataValidation>
    <dataValidation type="whole" operator="lessThanOrEqual" allowBlank="1" showInputMessage="1" showErrorMessage="1" errorTitle="INFO." error="Should be less or equal to No. of Shifts" sqref="I10:I11" xr:uid="{00000000-0002-0000-0100-000008000000}">
      <formula1>E10</formula1>
    </dataValidation>
    <dataValidation type="whole" allowBlank="1" showInputMessage="1" showErrorMessage="1" errorTitle="INFO." error="Should be less than or equal the Shift Hours" sqref="G13" xr:uid="{00000000-0002-0000-0100-000009000000}">
      <formula1>1</formula1>
      <formula2>G10</formula2>
    </dataValidation>
    <dataValidation type="whole" allowBlank="1" showInputMessage="1" showErrorMessage="1" errorTitle="INFO." error="Should not be more than 365 days per year" sqref="I13" xr:uid="{00000000-0002-0000-0100-00000A000000}">
      <formula1>1</formula1>
      <formula2>365</formula2>
    </dataValidation>
    <dataValidation type="whole" operator="greaterThanOrEqual" allowBlank="1" showInputMessage="1" showErrorMessage="1" errorTitle="INFO." error="Should not be leave this field empty (0 for example)" sqref="G12 I12 G14 I14" xr:uid="{00000000-0002-0000-0100-00000B000000}">
      <formula1>0</formula1>
    </dataValidation>
    <dataValidation allowBlank="1" showInputMessage="1" sqref="O12:S12" xr:uid="{00000000-0002-0000-0100-00000C000000}"/>
    <dataValidation allowBlank="1" showInputMessage="1" showErrorMessage="1" prompt="If you've more than one manufacturing site, please complete the details in the multi-site worksheet" sqref="C20 H20" xr:uid="{00000000-0002-0000-0100-00000D000000}"/>
  </dataValidations>
  <hyperlinks>
    <hyperlink ref="R34:S35" location="'2-Calc. Sheet'!A1" display="Create PRJ." xr:uid="{00000000-0004-0000-0100-000000000000}"/>
  </hyperlinks>
  <pageMargins left="0.7" right="0.7" top="0.75" bottom="0.75" header="0.3" footer="0.3"/>
  <pageSetup paperSize="9" orientation="portrait" horizontalDpi="300" verticalDpi="300" r:id="rId2"/>
  <drawing r:id="rId3"/>
  <legacyDrawing r:id="rId4"/>
  <extLst>
    <ext xmlns:x14="http://schemas.microsoft.com/office/spreadsheetml/2009/9/main" uri="{CCE6A557-97BC-4b89-ADB6-D9C93CAAB3DF}">
      <x14:dataValidations xmlns:xm="http://schemas.microsoft.com/office/excel/2006/main" xWindow="1296" yWindow="1349" count="5">
        <x14:dataValidation type="list" allowBlank="1" showInputMessage="1" showErrorMessage="1" xr:uid="{00000000-0002-0000-0100-00000E000000}">
          <x14:formula1>
            <xm:f>'Audit Form'!$A$7:$A$9</xm:f>
          </x14:formula1>
          <xm:sqref>I19</xm:sqref>
        </x14:dataValidation>
        <x14:dataValidation type="list" allowBlank="1" showInputMessage="1" showErrorMessage="1" xr:uid="{00000000-0002-0000-0100-00000F000000}">
          <x14:formula1>
            <xm:f>Sheet2!$Y$2:$Y$194</xm:f>
          </x14:formula1>
          <xm:sqref>I6</xm:sqref>
        </x14:dataValidation>
        <x14:dataValidation type="list" allowBlank="1" showInputMessage="1" showErrorMessage="1" xr:uid="{00000000-0002-0000-0100-000010000000}">
          <x14:formula1>
            <xm:f>Sheet2!$T$16:$T$22</xm:f>
          </x14:formula1>
          <xm:sqref>C19</xm:sqref>
        </x14:dataValidation>
        <x14:dataValidation type="list" allowBlank="1" showInputMessage="1" showErrorMessage="1" promptTitle="A.B." prompt="Accreditation Body" xr:uid="{00000000-0002-0000-0100-000011000000}">
          <x14:formula1>
            <xm:f>Classification!$R$21:$R$24</xm:f>
          </x14:formula1>
          <xm:sqref>I21:I24</xm:sqref>
        </x14:dataValidation>
        <x14:dataValidation type="list" allowBlank="1" showInputMessage="1" showErrorMessage="1" xr:uid="{00000000-0002-0000-0100-000012000000}">
          <x14:formula1>
            <xm:f>Sheet1!$A$2:$A$43</xm:f>
          </x14:formula1>
          <xm:sqref>C18:G18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dimension ref="A1:AA32"/>
  <sheetViews>
    <sheetView topLeftCell="I1" workbookViewId="0">
      <selection activeCell="K11" sqref="K11:M12"/>
    </sheetView>
  </sheetViews>
  <sheetFormatPr defaultRowHeight="15"/>
  <cols>
    <col min="3" max="6" width="5" customWidth="1"/>
    <col min="7" max="7" width="5.42578125" customWidth="1"/>
    <col min="13" max="13" width="10.42578125" customWidth="1"/>
    <col min="14" max="14" width="22.42578125" customWidth="1"/>
    <col min="17" max="21" width="7.140625" customWidth="1"/>
    <col min="26" max="26" width="9.140625" customWidth="1"/>
    <col min="27" max="27" width="21.42578125" customWidth="1"/>
  </cols>
  <sheetData>
    <row r="1" spans="1:27" ht="14.45" customHeight="1">
      <c r="A1" s="404" t="s">
        <v>1</v>
      </c>
      <c r="B1" s="404"/>
      <c r="C1" s="404"/>
      <c r="D1" s="404"/>
      <c r="E1" s="404"/>
      <c r="F1" s="20"/>
      <c r="I1" s="405" t="s">
        <v>2</v>
      </c>
      <c r="J1" s="405"/>
      <c r="K1" s="405"/>
      <c r="L1" s="405"/>
      <c r="M1" s="405"/>
      <c r="N1" s="405"/>
      <c r="O1" s="404" t="s">
        <v>1</v>
      </c>
      <c r="P1" s="404"/>
      <c r="Q1" s="404"/>
      <c r="R1" s="404"/>
      <c r="S1" s="404"/>
      <c r="T1" s="20"/>
      <c r="W1" s="405" t="s">
        <v>2</v>
      </c>
      <c r="X1" s="405"/>
      <c r="Y1" s="405"/>
      <c r="Z1" s="405"/>
      <c r="AA1" s="405"/>
    </row>
    <row r="2" spans="1:27" ht="14.45" customHeight="1">
      <c r="A2" s="404"/>
      <c r="B2" s="404"/>
      <c r="C2" s="404"/>
      <c r="D2" s="404"/>
      <c r="E2" s="404"/>
      <c r="F2" s="20"/>
      <c r="I2" s="405" t="s">
        <v>91</v>
      </c>
      <c r="J2" s="405"/>
      <c r="K2" s="405"/>
      <c r="L2" s="405"/>
      <c r="M2" s="405"/>
      <c r="N2" s="405"/>
      <c r="O2" s="404"/>
      <c r="P2" s="404"/>
      <c r="Q2" s="404"/>
      <c r="R2" s="404"/>
      <c r="S2" s="404"/>
      <c r="T2" s="20"/>
      <c r="W2" s="405" t="s">
        <v>92</v>
      </c>
      <c r="X2" s="405"/>
      <c r="Y2" s="405"/>
      <c r="Z2" s="405"/>
      <c r="AA2" s="405"/>
    </row>
    <row r="3" spans="1:27" ht="14.45" customHeight="1" thickBot="1">
      <c r="A3" s="404"/>
      <c r="B3" s="404"/>
      <c r="C3" s="404"/>
      <c r="D3" s="404"/>
      <c r="E3" s="404"/>
      <c r="F3" s="20"/>
      <c r="I3" s="505" t="s">
        <v>1072</v>
      </c>
      <c r="J3" s="505"/>
      <c r="K3" s="505"/>
      <c r="L3" s="505"/>
      <c r="M3" s="505"/>
      <c r="N3" s="505"/>
      <c r="O3" s="404"/>
      <c r="P3" s="404"/>
      <c r="Q3" s="404"/>
      <c r="R3" s="404"/>
      <c r="S3" s="404"/>
      <c r="T3" s="20"/>
      <c r="W3" s="405" t="s">
        <v>1072</v>
      </c>
      <c r="X3" s="405"/>
      <c r="Y3" s="405"/>
      <c r="Z3" s="405"/>
      <c r="AA3" s="405"/>
    </row>
    <row r="4" spans="1:27" ht="14.45" customHeight="1" thickBot="1">
      <c r="A4" s="506" t="s">
        <v>93</v>
      </c>
      <c r="B4" s="507"/>
      <c r="C4" s="507"/>
      <c r="D4" s="507"/>
      <c r="E4" s="507"/>
      <c r="F4" s="507"/>
      <c r="G4" s="507"/>
      <c r="H4" s="507"/>
      <c r="I4" s="507"/>
      <c r="J4" s="507"/>
      <c r="K4" s="507"/>
      <c r="L4" s="507"/>
      <c r="M4" s="507"/>
      <c r="N4" s="508"/>
      <c r="O4" s="506" t="s">
        <v>93</v>
      </c>
      <c r="P4" s="507"/>
      <c r="Q4" s="507"/>
      <c r="R4" s="507"/>
      <c r="S4" s="507"/>
      <c r="T4" s="507"/>
      <c r="U4" s="507"/>
      <c r="V4" s="507"/>
      <c r="W4" s="507"/>
      <c r="X4" s="507"/>
      <c r="Y4" s="507"/>
      <c r="Z4" s="507"/>
      <c r="AA4" s="242"/>
    </row>
    <row r="5" spans="1:27" ht="14.45" customHeight="1" thickBot="1">
      <c r="A5" s="264"/>
      <c r="B5" s="264"/>
      <c r="C5" s="264"/>
      <c r="D5" s="264"/>
      <c r="E5" s="264"/>
      <c r="F5" s="20"/>
      <c r="G5" s="213"/>
      <c r="H5" s="213"/>
      <c r="I5" s="213"/>
      <c r="J5" s="213"/>
      <c r="K5" s="264"/>
      <c r="L5" s="264"/>
      <c r="M5" s="264"/>
      <c r="N5" s="264"/>
      <c r="O5" s="264"/>
      <c r="P5" s="264"/>
      <c r="Q5" s="264"/>
      <c r="R5" s="264"/>
      <c r="S5" s="264"/>
      <c r="T5" s="20"/>
      <c r="U5" s="213"/>
      <c r="V5" s="213"/>
      <c r="W5" s="213"/>
      <c r="X5" s="213"/>
      <c r="Y5" s="264"/>
      <c r="Z5" s="264"/>
      <c r="AA5" s="264"/>
    </row>
    <row r="6" spans="1:27" ht="48" customHeight="1" thickBot="1">
      <c r="A6" s="527" t="s">
        <v>94</v>
      </c>
      <c r="B6" s="535"/>
      <c r="C6" s="516" t="s">
        <v>95</v>
      </c>
      <c r="D6" s="517"/>
      <c r="E6" s="517"/>
      <c r="F6" s="517"/>
      <c r="G6" s="536"/>
      <c r="H6" s="516" t="s">
        <v>96</v>
      </c>
      <c r="I6" s="517"/>
      <c r="J6" s="517"/>
      <c r="K6" s="516" t="s">
        <v>97</v>
      </c>
      <c r="L6" s="517"/>
      <c r="M6" s="518"/>
      <c r="N6" s="283" t="s">
        <v>1016</v>
      </c>
      <c r="O6" s="527" t="s">
        <v>94</v>
      </c>
      <c r="P6" s="528"/>
      <c r="Q6" s="529" t="s">
        <v>95</v>
      </c>
      <c r="R6" s="530"/>
      <c r="S6" s="530"/>
      <c r="T6" s="530"/>
      <c r="U6" s="531"/>
      <c r="V6" s="529" t="s">
        <v>96</v>
      </c>
      <c r="W6" s="530"/>
      <c r="X6" s="530"/>
      <c r="Y6" s="516" t="s">
        <v>97</v>
      </c>
      <c r="Z6" s="517"/>
      <c r="AA6" s="283" t="s">
        <v>1016</v>
      </c>
    </row>
    <row r="7" spans="1:27" ht="14.45" customHeight="1">
      <c r="A7" s="534"/>
      <c r="B7" s="519"/>
      <c r="C7" s="519"/>
      <c r="D7" s="519"/>
      <c r="E7" s="519"/>
      <c r="F7" s="519"/>
      <c r="G7" s="519"/>
      <c r="H7" s="519"/>
      <c r="I7" s="519"/>
      <c r="J7" s="519"/>
      <c r="K7" s="519"/>
      <c r="L7" s="519"/>
      <c r="M7" s="520"/>
      <c r="N7" s="509"/>
      <c r="O7" s="534"/>
      <c r="P7" s="519"/>
      <c r="Q7" s="519"/>
      <c r="R7" s="519"/>
      <c r="S7" s="519"/>
      <c r="T7" s="519"/>
      <c r="U7" s="519"/>
      <c r="V7" s="519"/>
      <c r="W7" s="519"/>
      <c r="X7" s="519"/>
      <c r="Y7" s="532"/>
      <c r="Z7" s="533"/>
      <c r="AA7" s="509"/>
    </row>
    <row r="8" spans="1:27" ht="14.45" customHeight="1">
      <c r="A8" s="514"/>
      <c r="B8" s="510"/>
      <c r="C8" s="510"/>
      <c r="D8" s="510"/>
      <c r="E8" s="510"/>
      <c r="F8" s="510"/>
      <c r="G8" s="510"/>
      <c r="H8" s="510"/>
      <c r="I8" s="510"/>
      <c r="J8" s="510"/>
      <c r="K8" s="510"/>
      <c r="L8" s="510"/>
      <c r="M8" s="511"/>
      <c r="N8" s="503"/>
      <c r="O8" s="514"/>
      <c r="P8" s="510"/>
      <c r="Q8" s="510"/>
      <c r="R8" s="510"/>
      <c r="S8" s="510"/>
      <c r="T8" s="510"/>
      <c r="U8" s="510"/>
      <c r="V8" s="510"/>
      <c r="W8" s="510"/>
      <c r="X8" s="510"/>
      <c r="Y8" s="523"/>
      <c r="Z8" s="524"/>
      <c r="AA8" s="503"/>
    </row>
    <row r="9" spans="1:27" ht="14.45" customHeight="1">
      <c r="A9" s="514"/>
      <c r="B9" s="510"/>
      <c r="C9" s="510"/>
      <c r="D9" s="510"/>
      <c r="E9" s="510"/>
      <c r="F9" s="510"/>
      <c r="G9" s="510"/>
      <c r="H9" s="510"/>
      <c r="I9" s="510"/>
      <c r="J9" s="510"/>
      <c r="K9" s="510"/>
      <c r="L9" s="510"/>
      <c r="M9" s="511"/>
      <c r="N9" s="502"/>
      <c r="O9" s="514"/>
      <c r="P9" s="510"/>
      <c r="Q9" s="510"/>
      <c r="R9" s="510"/>
      <c r="S9" s="510"/>
      <c r="T9" s="510"/>
      <c r="U9" s="510"/>
      <c r="V9" s="510"/>
      <c r="W9" s="510"/>
      <c r="X9" s="510"/>
      <c r="Y9" s="521"/>
      <c r="Z9" s="522"/>
      <c r="AA9" s="502"/>
    </row>
    <row r="10" spans="1:27" ht="14.45" customHeight="1">
      <c r="A10" s="514"/>
      <c r="B10" s="510"/>
      <c r="C10" s="510"/>
      <c r="D10" s="510"/>
      <c r="E10" s="510"/>
      <c r="F10" s="510"/>
      <c r="G10" s="510"/>
      <c r="H10" s="510"/>
      <c r="I10" s="510"/>
      <c r="J10" s="510"/>
      <c r="K10" s="510"/>
      <c r="L10" s="510"/>
      <c r="M10" s="511"/>
      <c r="N10" s="503"/>
      <c r="O10" s="514"/>
      <c r="P10" s="510"/>
      <c r="Q10" s="510"/>
      <c r="R10" s="510"/>
      <c r="S10" s="510"/>
      <c r="T10" s="510"/>
      <c r="U10" s="510"/>
      <c r="V10" s="510"/>
      <c r="W10" s="510"/>
      <c r="X10" s="510"/>
      <c r="Y10" s="523"/>
      <c r="Z10" s="524"/>
      <c r="AA10" s="503"/>
    </row>
    <row r="11" spans="1:27" ht="14.45" customHeight="1">
      <c r="A11" s="514"/>
      <c r="B11" s="510"/>
      <c r="C11" s="510"/>
      <c r="D11" s="510"/>
      <c r="E11" s="510"/>
      <c r="F11" s="510"/>
      <c r="G11" s="510"/>
      <c r="H11" s="510"/>
      <c r="I11" s="510"/>
      <c r="J11" s="510"/>
      <c r="K11" s="510"/>
      <c r="L11" s="510"/>
      <c r="M11" s="511"/>
      <c r="N11" s="502"/>
      <c r="O11" s="514"/>
      <c r="P11" s="510"/>
      <c r="Q11" s="510"/>
      <c r="R11" s="510"/>
      <c r="S11" s="510"/>
      <c r="T11" s="510"/>
      <c r="U11" s="510"/>
      <c r="V11" s="510"/>
      <c r="W11" s="510"/>
      <c r="X11" s="510"/>
      <c r="Y11" s="521"/>
      <c r="Z11" s="522"/>
      <c r="AA11" s="502"/>
    </row>
    <row r="12" spans="1:27" ht="14.45" customHeight="1">
      <c r="A12" s="514"/>
      <c r="B12" s="510"/>
      <c r="C12" s="510"/>
      <c r="D12" s="510"/>
      <c r="E12" s="510"/>
      <c r="F12" s="510"/>
      <c r="G12" s="510"/>
      <c r="H12" s="510"/>
      <c r="I12" s="510"/>
      <c r="J12" s="510"/>
      <c r="K12" s="510"/>
      <c r="L12" s="510"/>
      <c r="M12" s="511"/>
      <c r="N12" s="503"/>
      <c r="O12" s="514"/>
      <c r="P12" s="510"/>
      <c r="Q12" s="510"/>
      <c r="R12" s="510"/>
      <c r="S12" s="510"/>
      <c r="T12" s="510"/>
      <c r="U12" s="510"/>
      <c r="V12" s="510"/>
      <c r="W12" s="510"/>
      <c r="X12" s="510"/>
      <c r="Y12" s="523"/>
      <c r="Z12" s="524"/>
      <c r="AA12" s="503"/>
    </row>
    <row r="13" spans="1:27" ht="14.45" customHeight="1">
      <c r="A13" s="514"/>
      <c r="B13" s="510"/>
      <c r="C13" s="510"/>
      <c r="D13" s="510"/>
      <c r="E13" s="510"/>
      <c r="F13" s="510"/>
      <c r="G13" s="510"/>
      <c r="H13" s="510"/>
      <c r="I13" s="510"/>
      <c r="J13" s="510"/>
      <c r="K13" s="510"/>
      <c r="L13" s="510"/>
      <c r="M13" s="511"/>
      <c r="N13" s="502"/>
      <c r="O13" s="514"/>
      <c r="P13" s="510"/>
      <c r="Q13" s="510"/>
      <c r="R13" s="510"/>
      <c r="S13" s="510"/>
      <c r="T13" s="510"/>
      <c r="U13" s="510"/>
      <c r="V13" s="510"/>
      <c r="W13" s="510"/>
      <c r="X13" s="510"/>
      <c r="Y13" s="521"/>
      <c r="Z13" s="522"/>
      <c r="AA13" s="502"/>
    </row>
    <row r="14" spans="1:27" ht="14.45" customHeight="1">
      <c r="A14" s="514"/>
      <c r="B14" s="510"/>
      <c r="C14" s="510"/>
      <c r="D14" s="510"/>
      <c r="E14" s="510"/>
      <c r="F14" s="510"/>
      <c r="G14" s="510"/>
      <c r="H14" s="510"/>
      <c r="I14" s="510"/>
      <c r="J14" s="510"/>
      <c r="K14" s="510"/>
      <c r="L14" s="510"/>
      <c r="M14" s="511"/>
      <c r="N14" s="503"/>
      <c r="O14" s="514"/>
      <c r="P14" s="510"/>
      <c r="Q14" s="510"/>
      <c r="R14" s="510"/>
      <c r="S14" s="510"/>
      <c r="T14" s="510"/>
      <c r="U14" s="510"/>
      <c r="V14" s="510"/>
      <c r="W14" s="510"/>
      <c r="X14" s="510"/>
      <c r="Y14" s="523"/>
      <c r="Z14" s="524"/>
      <c r="AA14" s="503"/>
    </row>
    <row r="15" spans="1:27" ht="18.399999999999999" customHeight="1">
      <c r="A15" s="514"/>
      <c r="B15" s="510"/>
      <c r="C15" s="510"/>
      <c r="D15" s="510"/>
      <c r="E15" s="510"/>
      <c r="F15" s="510"/>
      <c r="G15" s="510"/>
      <c r="H15" s="510"/>
      <c r="I15" s="510"/>
      <c r="J15" s="510"/>
      <c r="K15" s="510"/>
      <c r="L15" s="510"/>
      <c r="M15" s="511"/>
      <c r="N15" s="502"/>
      <c r="O15" s="514"/>
      <c r="P15" s="510"/>
      <c r="Q15" s="510"/>
      <c r="R15" s="510"/>
      <c r="S15" s="510"/>
      <c r="T15" s="510"/>
      <c r="U15" s="510"/>
      <c r="V15" s="510"/>
      <c r="W15" s="510"/>
      <c r="X15" s="510"/>
      <c r="Y15" s="521"/>
      <c r="Z15" s="522"/>
      <c r="AA15" s="502"/>
    </row>
    <row r="16" spans="1:27" ht="14.45" customHeight="1">
      <c r="A16" s="514"/>
      <c r="B16" s="510"/>
      <c r="C16" s="510"/>
      <c r="D16" s="510"/>
      <c r="E16" s="510"/>
      <c r="F16" s="510"/>
      <c r="G16" s="510"/>
      <c r="H16" s="510"/>
      <c r="I16" s="510"/>
      <c r="J16" s="510"/>
      <c r="K16" s="510"/>
      <c r="L16" s="510"/>
      <c r="M16" s="511"/>
      <c r="N16" s="503"/>
      <c r="O16" s="514"/>
      <c r="P16" s="510"/>
      <c r="Q16" s="510"/>
      <c r="R16" s="510"/>
      <c r="S16" s="510"/>
      <c r="T16" s="510"/>
      <c r="U16" s="510"/>
      <c r="V16" s="510"/>
      <c r="W16" s="510"/>
      <c r="X16" s="510"/>
      <c r="Y16" s="523"/>
      <c r="Z16" s="524"/>
      <c r="AA16" s="503"/>
    </row>
    <row r="17" spans="1:27" ht="14.45" customHeight="1">
      <c r="A17" s="514"/>
      <c r="B17" s="510"/>
      <c r="C17" s="510"/>
      <c r="D17" s="510"/>
      <c r="E17" s="510"/>
      <c r="F17" s="510"/>
      <c r="G17" s="510"/>
      <c r="H17" s="510"/>
      <c r="I17" s="510"/>
      <c r="J17" s="510"/>
      <c r="K17" s="510"/>
      <c r="L17" s="510"/>
      <c r="M17" s="511"/>
      <c r="N17" s="502"/>
      <c r="O17" s="514"/>
      <c r="P17" s="510"/>
      <c r="Q17" s="510"/>
      <c r="R17" s="510"/>
      <c r="S17" s="510"/>
      <c r="T17" s="510"/>
      <c r="U17" s="510"/>
      <c r="V17" s="510"/>
      <c r="W17" s="510"/>
      <c r="X17" s="510"/>
      <c r="Y17" s="521"/>
      <c r="Z17" s="522"/>
      <c r="AA17" s="502"/>
    </row>
    <row r="18" spans="1:27" ht="14.45" customHeight="1">
      <c r="A18" s="514"/>
      <c r="B18" s="510"/>
      <c r="C18" s="510"/>
      <c r="D18" s="510"/>
      <c r="E18" s="510"/>
      <c r="F18" s="510"/>
      <c r="G18" s="510"/>
      <c r="H18" s="510"/>
      <c r="I18" s="510"/>
      <c r="J18" s="510"/>
      <c r="K18" s="510"/>
      <c r="L18" s="510"/>
      <c r="M18" s="511"/>
      <c r="N18" s="503"/>
      <c r="O18" s="514"/>
      <c r="P18" s="510"/>
      <c r="Q18" s="510"/>
      <c r="R18" s="510"/>
      <c r="S18" s="510"/>
      <c r="T18" s="510"/>
      <c r="U18" s="510"/>
      <c r="V18" s="510"/>
      <c r="W18" s="510"/>
      <c r="X18" s="510"/>
      <c r="Y18" s="523"/>
      <c r="Z18" s="524"/>
      <c r="AA18" s="503"/>
    </row>
    <row r="19" spans="1:27" ht="14.45" customHeight="1">
      <c r="A19" s="514"/>
      <c r="B19" s="510"/>
      <c r="C19" s="510"/>
      <c r="D19" s="510"/>
      <c r="E19" s="510"/>
      <c r="F19" s="510"/>
      <c r="G19" s="510"/>
      <c r="H19" s="510"/>
      <c r="I19" s="510"/>
      <c r="J19" s="510"/>
      <c r="K19" s="510"/>
      <c r="L19" s="510"/>
      <c r="M19" s="511"/>
      <c r="N19" s="502"/>
      <c r="O19" s="514"/>
      <c r="P19" s="510"/>
      <c r="Q19" s="510"/>
      <c r="R19" s="510"/>
      <c r="S19" s="510"/>
      <c r="T19" s="510"/>
      <c r="U19" s="510"/>
      <c r="V19" s="510"/>
      <c r="W19" s="510"/>
      <c r="X19" s="510"/>
      <c r="Y19" s="521"/>
      <c r="Z19" s="522"/>
      <c r="AA19" s="502"/>
    </row>
    <row r="20" spans="1:27" ht="14.45" customHeight="1">
      <c r="A20" s="514"/>
      <c r="B20" s="510"/>
      <c r="C20" s="510"/>
      <c r="D20" s="510"/>
      <c r="E20" s="510"/>
      <c r="F20" s="510"/>
      <c r="G20" s="510"/>
      <c r="H20" s="510"/>
      <c r="I20" s="510"/>
      <c r="J20" s="510"/>
      <c r="K20" s="510"/>
      <c r="L20" s="510"/>
      <c r="M20" s="511"/>
      <c r="N20" s="503"/>
      <c r="O20" s="514"/>
      <c r="P20" s="510"/>
      <c r="Q20" s="510"/>
      <c r="R20" s="510"/>
      <c r="S20" s="510"/>
      <c r="T20" s="510"/>
      <c r="U20" s="510"/>
      <c r="V20" s="510"/>
      <c r="W20" s="510"/>
      <c r="X20" s="510"/>
      <c r="Y20" s="523"/>
      <c r="Z20" s="524"/>
      <c r="AA20" s="503"/>
    </row>
    <row r="21" spans="1:27" ht="15" customHeight="1">
      <c r="A21" s="514"/>
      <c r="B21" s="510"/>
      <c r="C21" s="510"/>
      <c r="D21" s="510"/>
      <c r="E21" s="510"/>
      <c r="F21" s="510"/>
      <c r="G21" s="510"/>
      <c r="H21" s="510"/>
      <c r="I21" s="510"/>
      <c r="J21" s="510"/>
      <c r="K21" s="510"/>
      <c r="L21" s="510"/>
      <c r="M21" s="511"/>
      <c r="N21" s="502"/>
      <c r="O21" s="514"/>
      <c r="P21" s="510"/>
      <c r="Q21" s="510"/>
      <c r="R21" s="510"/>
      <c r="S21" s="510"/>
      <c r="T21" s="510"/>
      <c r="U21" s="510"/>
      <c r="V21" s="510"/>
      <c r="W21" s="510"/>
      <c r="X21" s="510"/>
      <c r="Y21" s="521"/>
      <c r="Z21" s="522"/>
      <c r="AA21" s="502"/>
    </row>
    <row r="22" spans="1:27" ht="15" customHeight="1">
      <c r="A22" s="514"/>
      <c r="B22" s="510"/>
      <c r="C22" s="510"/>
      <c r="D22" s="510"/>
      <c r="E22" s="510"/>
      <c r="F22" s="510"/>
      <c r="G22" s="510"/>
      <c r="H22" s="510"/>
      <c r="I22" s="510"/>
      <c r="J22" s="510"/>
      <c r="K22" s="510"/>
      <c r="L22" s="510"/>
      <c r="M22" s="511"/>
      <c r="N22" s="503"/>
      <c r="O22" s="514"/>
      <c r="P22" s="510"/>
      <c r="Q22" s="510"/>
      <c r="R22" s="510"/>
      <c r="S22" s="510"/>
      <c r="T22" s="510"/>
      <c r="U22" s="510"/>
      <c r="V22" s="510"/>
      <c r="W22" s="510"/>
      <c r="X22" s="510"/>
      <c r="Y22" s="523"/>
      <c r="Z22" s="524"/>
      <c r="AA22" s="503"/>
    </row>
    <row r="23" spans="1:27" ht="15" customHeight="1">
      <c r="A23" s="514"/>
      <c r="B23" s="510"/>
      <c r="C23" s="510"/>
      <c r="D23" s="510"/>
      <c r="E23" s="510"/>
      <c r="F23" s="510"/>
      <c r="G23" s="510"/>
      <c r="H23" s="510"/>
      <c r="I23" s="510"/>
      <c r="J23" s="510"/>
      <c r="K23" s="510"/>
      <c r="L23" s="510"/>
      <c r="M23" s="511"/>
      <c r="N23" s="502"/>
      <c r="O23" s="514"/>
      <c r="P23" s="510"/>
      <c r="Q23" s="510"/>
      <c r="R23" s="510"/>
      <c r="S23" s="510"/>
      <c r="T23" s="510"/>
      <c r="U23" s="510"/>
      <c r="V23" s="510"/>
      <c r="W23" s="510"/>
      <c r="X23" s="510"/>
      <c r="Y23" s="521"/>
      <c r="Z23" s="522"/>
      <c r="AA23" s="502"/>
    </row>
    <row r="24" spans="1:27" ht="15" customHeight="1">
      <c r="A24" s="514"/>
      <c r="B24" s="510"/>
      <c r="C24" s="510"/>
      <c r="D24" s="510"/>
      <c r="E24" s="510"/>
      <c r="F24" s="510"/>
      <c r="G24" s="510"/>
      <c r="H24" s="510"/>
      <c r="I24" s="510"/>
      <c r="J24" s="510"/>
      <c r="K24" s="510"/>
      <c r="L24" s="510"/>
      <c r="M24" s="511"/>
      <c r="N24" s="503"/>
      <c r="O24" s="514"/>
      <c r="P24" s="510"/>
      <c r="Q24" s="510"/>
      <c r="R24" s="510"/>
      <c r="S24" s="510"/>
      <c r="T24" s="510"/>
      <c r="U24" s="510"/>
      <c r="V24" s="510"/>
      <c r="W24" s="510"/>
      <c r="X24" s="510"/>
      <c r="Y24" s="523"/>
      <c r="Z24" s="524"/>
      <c r="AA24" s="503"/>
    </row>
    <row r="25" spans="1:27" ht="15" customHeight="1">
      <c r="A25" s="514"/>
      <c r="B25" s="510"/>
      <c r="C25" s="510"/>
      <c r="D25" s="510"/>
      <c r="E25" s="510"/>
      <c r="F25" s="510"/>
      <c r="G25" s="510"/>
      <c r="H25" s="510"/>
      <c r="I25" s="510"/>
      <c r="J25" s="510"/>
      <c r="K25" s="510"/>
      <c r="L25" s="510"/>
      <c r="M25" s="511"/>
      <c r="N25" s="502"/>
      <c r="O25" s="514"/>
      <c r="P25" s="510"/>
      <c r="Q25" s="510"/>
      <c r="R25" s="510"/>
      <c r="S25" s="510"/>
      <c r="T25" s="510"/>
      <c r="U25" s="510"/>
      <c r="V25" s="510"/>
      <c r="W25" s="510"/>
      <c r="X25" s="510"/>
      <c r="Y25" s="521"/>
      <c r="Z25" s="522"/>
      <c r="AA25" s="502"/>
    </row>
    <row r="26" spans="1:27" ht="15" customHeight="1">
      <c r="A26" s="514"/>
      <c r="B26" s="510"/>
      <c r="C26" s="510"/>
      <c r="D26" s="510"/>
      <c r="E26" s="510"/>
      <c r="F26" s="510"/>
      <c r="G26" s="510"/>
      <c r="H26" s="510"/>
      <c r="I26" s="510"/>
      <c r="J26" s="510"/>
      <c r="K26" s="510"/>
      <c r="L26" s="510"/>
      <c r="M26" s="511"/>
      <c r="N26" s="503"/>
      <c r="O26" s="514"/>
      <c r="P26" s="510"/>
      <c r="Q26" s="510"/>
      <c r="R26" s="510"/>
      <c r="S26" s="510"/>
      <c r="T26" s="510"/>
      <c r="U26" s="510"/>
      <c r="V26" s="510"/>
      <c r="W26" s="510"/>
      <c r="X26" s="510"/>
      <c r="Y26" s="523"/>
      <c r="Z26" s="524"/>
      <c r="AA26" s="503"/>
    </row>
    <row r="27" spans="1:27" ht="15" customHeight="1">
      <c r="A27" s="514"/>
      <c r="B27" s="510"/>
      <c r="C27" s="510"/>
      <c r="D27" s="510"/>
      <c r="E27" s="510"/>
      <c r="F27" s="510"/>
      <c r="G27" s="510"/>
      <c r="H27" s="510"/>
      <c r="I27" s="510"/>
      <c r="J27" s="510"/>
      <c r="K27" s="510"/>
      <c r="L27" s="510"/>
      <c r="M27" s="511"/>
      <c r="N27" s="502"/>
      <c r="O27" s="514"/>
      <c r="P27" s="510"/>
      <c r="Q27" s="510"/>
      <c r="R27" s="510"/>
      <c r="S27" s="510"/>
      <c r="T27" s="510"/>
      <c r="U27" s="510"/>
      <c r="V27" s="510"/>
      <c r="W27" s="510"/>
      <c r="X27" s="510"/>
      <c r="Y27" s="521"/>
      <c r="Z27" s="522"/>
      <c r="AA27" s="502"/>
    </row>
    <row r="28" spans="1:27" ht="15" customHeight="1">
      <c r="A28" s="514"/>
      <c r="B28" s="510"/>
      <c r="C28" s="510"/>
      <c r="D28" s="510"/>
      <c r="E28" s="510"/>
      <c r="F28" s="510"/>
      <c r="G28" s="510"/>
      <c r="H28" s="510"/>
      <c r="I28" s="510"/>
      <c r="J28" s="510"/>
      <c r="K28" s="510"/>
      <c r="L28" s="510"/>
      <c r="M28" s="511"/>
      <c r="N28" s="503"/>
      <c r="O28" s="514"/>
      <c r="P28" s="510"/>
      <c r="Q28" s="510"/>
      <c r="R28" s="510"/>
      <c r="S28" s="510"/>
      <c r="T28" s="510"/>
      <c r="U28" s="510"/>
      <c r="V28" s="510"/>
      <c r="W28" s="510"/>
      <c r="X28" s="510"/>
      <c r="Y28" s="523"/>
      <c r="Z28" s="524"/>
      <c r="AA28" s="503"/>
    </row>
    <row r="29" spans="1:27" ht="15" customHeight="1">
      <c r="A29" s="514"/>
      <c r="B29" s="510"/>
      <c r="C29" s="510"/>
      <c r="D29" s="510"/>
      <c r="E29" s="510"/>
      <c r="F29" s="510"/>
      <c r="G29" s="510"/>
      <c r="H29" s="510"/>
      <c r="I29" s="510"/>
      <c r="J29" s="510"/>
      <c r="K29" s="510"/>
      <c r="L29" s="510"/>
      <c r="M29" s="511"/>
      <c r="N29" s="502"/>
      <c r="O29" s="514"/>
      <c r="P29" s="510"/>
      <c r="Q29" s="510"/>
      <c r="R29" s="510"/>
      <c r="S29" s="510"/>
      <c r="T29" s="510"/>
      <c r="U29" s="510"/>
      <c r="V29" s="510"/>
      <c r="W29" s="510"/>
      <c r="X29" s="510"/>
      <c r="Y29" s="521"/>
      <c r="Z29" s="522"/>
      <c r="AA29" s="502"/>
    </row>
    <row r="30" spans="1:27" ht="15" customHeight="1">
      <c r="A30" s="514"/>
      <c r="B30" s="510"/>
      <c r="C30" s="510"/>
      <c r="D30" s="510"/>
      <c r="E30" s="510"/>
      <c r="F30" s="510"/>
      <c r="G30" s="510"/>
      <c r="H30" s="510"/>
      <c r="I30" s="510"/>
      <c r="J30" s="510"/>
      <c r="K30" s="510"/>
      <c r="L30" s="510"/>
      <c r="M30" s="511"/>
      <c r="N30" s="503"/>
      <c r="O30" s="514"/>
      <c r="P30" s="510"/>
      <c r="Q30" s="510"/>
      <c r="R30" s="510"/>
      <c r="S30" s="510"/>
      <c r="T30" s="510"/>
      <c r="U30" s="510"/>
      <c r="V30" s="510"/>
      <c r="W30" s="510"/>
      <c r="X30" s="510"/>
      <c r="Y30" s="523"/>
      <c r="Z30" s="524"/>
      <c r="AA30" s="503"/>
    </row>
    <row r="31" spans="1:27" ht="15" customHeight="1">
      <c r="A31" s="514"/>
      <c r="B31" s="510"/>
      <c r="C31" s="510"/>
      <c r="D31" s="510"/>
      <c r="E31" s="510"/>
      <c r="F31" s="510"/>
      <c r="G31" s="510"/>
      <c r="H31" s="510"/>
      <c r="I31" s="510"/>
      <c r="J31" s="510"/>
      <c r="K31" s="510"/>
      <c r="L31" s="510"/>
      <c r="M31" s="511"/>
      <c r="N31" s="502"/>
      <c r="O31" s="514"/>
      <c r="P31" s="510"/>
      <c r="Q31" s="510"/>
      <c r="R31" s="510"/>
      <c r="S31" s="510"/>
      <c r="T31" s="510"/>
      <c r="U31" s="510"/>
      <c r="V31" s="510"/>
      <c r="W31" s="510"/>
      <c r="X31" s="510"/>
      <c r="Y31" s="521"/>
      <c r="Z31" s="522"/>
      <c r="AA31" s="502"/>
    </row>
    <row r="32" spans="1:27" ht="15.75" customHeight="1" thickBot="1">
      <c r="A32" s="515"/>
      <c r="B32" s="512"/>
      <c r="C32" s="512"/>
      <c r="D32" s="512"/>
      <c r="E32" s="512"/>
      <c r="F32" s="512"/>
      <c r="G32" s="512"/>
      <c r="H32" s="512"/>
      <c r="I32" s="512"/>
      <c r="J32" s="512"/>
      <c r="K32" s="512"/>
      <c r="L32" s="512"/>
      <c r="M32" s="513"/>
      <c r="N32" s="504"/>
      <c r="O32" s="515"/>
      <c r="P32" s="512"/>
      <c r="Q32" s="512"/>
      <c r="R32" s="512"/>
      <c r="S32" s="512"/>
      <c r="T32" s="512"/>
      <c r="U32" s="512"/>
      <c r="V32" s="512"/>
      <c r="W32" s="512"/>
      <c r="X32" s="512"/>
      <c r="Y32" s="525"/>
      <c r="Z32" s="526"/>
      <c r="AA32" s="504"/>
    </row>
  </sheetData>
  <mergeCells count="148">
    <mergeCell ref="H19:J20"/>
    <mergeCell ref="H25:J26"/>
    <mergeCell ref="H7:J8"/>
    <mergeCell ref="H9:J10"/>
    <mergeCell ref="H11:J12"/>
    <mergeCell ref="A1:E3"/>
    <mergeCell ref="C23:G24"/>
    <mergeCell ref="C25:G26"/>
    <mergeCell ref="A6:B6"/>
    <mergeCell ref="A7:B8"/>
    <mergeCell ref="A9:B10"/>
    <mergeCell ref="C6:G6"/>
    <mergeCell ref="C7:G8"/>
    <mergeCell ref="C9:G10"/>
    <mergeCell ref="H6:J6"/>
    <mergeCell ref="A13:B14"/>
    <mergeCell ref="A15:B16"/>
    <mergeCell ref="A11:B12"/>
    <mergeCell ref="C11:G12"/>
    <mergeCell ref="C13:G14"/>
    <mergeCell ref="C15:G16"/>
    <mergeCell ref="H13:J14"/>
    <mergeCell ref="H15:J16"/>
    <mergeCell ref="A17:B18"/>
    <mergeCell ref="A19:B20"/>
    <mergeCell ref="C17:G18"/>
    <mergeCell ref="K11:M12"/>
    <mergeCell ref="K13:M14"/>
    <mergeCell ref="K15:M16"/>
    <mergeCell ref="K17:M18"/>
    <mergeCell ref="K25:M26"/>
    <mergeCell ref="K27:M28"/>
    <mergeCell ref="K29:M30"/>
    <mergeCell ref="A21:B22"/>
    <mergeCell ref="C21:G22"/>
    <mergeCell ref="H21:J22"/>
    <mergeCell ref="A23:B24"/>
    <mergeCell ref="H23:J24"/>
    <mergeCell ref="C27:G28"/>
    <mergeCell ref="H27:J28"/>
    <mergeCell ref="A29:B30"/>
    <mergeCell ref="C29:G30"/>
    <mergeCell ref="H29:J30"/>
    <mergeCell ref="K19:M20"/>
    <mergeCell ref="K21:M22"/>
    <mergeCell ref="K23:M24"/>
    <mergeCell ref="C19:G20"/>
    <mergeCell ref="A25:B26"/>
    <mergeCell ref="A27:B28"/>
    <mergeCell ref="H17:J18"/>
    <mergeCell ref="V7:X8"/>
    <mergeCell ref="O9:P10"/>
    <mergeCell ref="Q9:U10"/>
    <mergeCell ref="V9:X10"/>
    <mergeCell ref="W1:AA1"/>
    <mergeCell ref="W2:AA2"/>
    <mergeCell ref="W3:AA3"/>
    <mergeCell ref="O6:P6"/>
    <mergeCell ref="Q6:U6"/>
    <mergeCell ref="V6:X6"/>
    <mergeCell ref="Y6:Z6"/>
    <mergeCell ref="Y7:Z8"/>
    <mergeCell ref="Y9:Z10"/>
    <mergeCell ref="AA7:AA8"/>
    <mergeCell ref="O4:Z4"/>
    <mergeCell ref="O1:S3"/>
    <mergeCell ref="O7:P8"/>
    <mergeCell ref="Q7:U8"/>
    <mergeCell ref="V15:X16"/>
    <mergeCell ref="O17:P18"/>
    <mergeCell ref="Q17:U18"/>
    <mergeCell ref="V17:X18"/>
    <mergeCell ref="V11:X12"/>
    <mergeCell ref="O13:P14"/>
    <mergeCell ref="Q13:U14"/>
    <mergeCell ref="V13:X14"/>
    <mergeCell ref="Y11:Z12"/>
    <mergeCell ref="Y13:Z14"/>
    <mergeCell ref="Y15:Z16"/>
    <mergeCell ref="Y17:Z18"/>
    <mergeCell ref="O11:P12"/>
    <mergeCell ref="Q11:U12"/>
    <mergeCell ref="O15:P16"/>
    <mergeCell ref="Q15:U16"/>
    <mergeCell ref="O31:P32"/>
    <mergeCell ref="Q31:U32"/>
    <mergeCell ref="V31:X32"/>
    <mergeCell ref="Q27:U28"/>
    <mergeCell ref="V27:X28"/>
    <mergeCell ref="O29:P30"/>
    <mergeCell ref="Q29:U30"/>
    <mergeCell ref="V29:X30"/>
    <mergeCell ref="Y27:Z28"/>
    <mergeCell ref="O27:P28"/>
    <mergeCell ref="V23:X24"/>
    <mergeCell ref="O25:P26"/>
    <mergeCell ref="Q25:U26"/>
    <mergeCell ref="V25:X26"/>
    <mergeCell ref="V19:X20"/>
    <mergeCell ref="O21:P22"/>
    <mergeCell ref="Q21:U22"/>
    <mergeCell ref="V21:X22"/>
    <mergeCell ref="Y19:Z20"/>
    <mergeCell ref="Y21:Z22"/>
    <mergeCell ref="Y23:Z24"/>
    <mergeCell ref="Y25:Z26"/>
    <mergeCell ref="O19:P20"/>
    <mergeCell ref="Q19:U20"/>
    <mergeCell ref="O23:P24"/>
    <mergeCell ref="Q23:U24"/>
    <mergeCell ref="AA11:AA12"/>
    <mergeCell ref="AA9:AA10"/>
    <mergeCell ref="Y29:Z30"/>
    <mergeCell ref="Y31:Z32"/>
    <mergeCell ref="AA25:AA26"/>
    <mergeCell ref="AA23:AA24"/>
    <mergeCell ref="AA21:AA22"/>
    <mergeCell ref="AA19:AA20"/>
    <mergeCell ref="AA17:AA18"/>
    <mergeCell ref="AA15:AA16"/>
    <mergeCell ref="AA13:AA14"/>
    <mergeCell ref="AA31:AA32"/>
    <mergeCell ref="AA29:AA30"/>
    <mergeCell ref="AA27:AA28"/>
    <mergeCell ref="N17:N18"/>
    <mergeCell ref="N19:N20"/>
    <mergeCell ref="N21:N22"/>
    <mergeCell ref="N23:N24"/>
    <mergeCell ref="N25:N26"/>
    <mergeCell ref="N27:N28"/>
    <mergeCell ref="N29:N30"/>
    <mergeCell ref="N31:N32"/>
    <mergeCell ref="I1:N1"/>
    <mergeCell ref="I2:N2"/>
    <mergeCell ref="I3:N3"/>
    <mergeCell ref="A4:N4"/>
    <mergeCell ref="N7:N8"/>
    <mergeCell ref="N9:N10"/>
    <mergeCell ref="N11:N12"/>
    <mergeCell ref="N13:N14"/>
    <mergeCell ref="N15:N16"/>
    <mergeCell ref="K31:M32"/>
    <mergeCell ref="A31:B32"/>
    <mergeCell ref="C31:G32"/>
    <mergeCell ref="H31:J32"/>
    <mergeCell ref="K6:M6"/>
    <mergeCell ref="K7:M8"/>
    <mergeCell ref="K9:M10"/>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H64"/>
  <sheetViews>
    <sheetView workbookViewId="0">
      <selection activeCell="C25" sqref="C25"/>
    </sheetView>
  </sheetViews>
  <sheetFormatPr defaultColWidth="9" defaultRowHeight="15"/>
  <cols>
    <col min="1" max="1" width="10.42578125" style="3" customWidth="1"/>
    <col min="2" max="2" width="49.42578125" style="3" customWidth="1"/>
    <col min="3" max="4" width="26" style="3" customWidth="1"/>
    <col min="5" max="5" width="11.42578125" style="3" customWidth="1"/>
    <col min="6" max="6" width="9" style="3"/>
    <col min="7" max="7" width="27.140625" style="3" customWidth="1"/>
    <col min="8" max="16384" width="9" style="3"/>
  </cols>
  <sheetData>
    <row r="1" spans="1:8" ht="30">
      <c r="A1" s="103" t="s">
        <v>98</v>
      </c>
      <c r="B1" s="103" t="s">
        <v>99</v>
      </c>
      <c r="C1" s="103" t="s">
        <v>100</v>
      </c>
      <c r="D1" s="103" t="s">
        <v>101</v>
      </c>
      <c r="E1" s="103" t="s">
        <v>102</v>
      </c>
      <c r="F1" s="103" t="s">
        <v>103</v>
      </c>
      <c r="G1" s="103" t="s">
        <v>104</v>
      </c>
    </row>
    <row r="2" spans="1:8" ht="30.75" thickBot="1">
      <c r="A2" s="114" t="s">
        <v>105</v>
      </c>
      <c r="B2" s="114">
        <f>'2-Calc. Sheet'!C7</f>
        <v>0</v>
      </c>
      <c r="C2" s="114">
        <f>'1-Questionnaire'!C21:G21</f>
        <v>0</v>
      </c>
      <c r="D2" s="115">
        <v>0</v>
      </c>
      <c r="E2" s="117">
        <f>'2-Calc. Sheet'!I14</f>
        <v>0</v>
      </c>
      <c r="F2" s="116" t="str">
        <f>'2-Calc. Sheet'!I8</f>
        <v>PPS</v>
      </c>
      <c r="G2" s="28" t="e">
        <f>VLOOKUP(Table1[[#This Row],[Site Type]], 'Audit Form'!A13:B17, 2,FALSE)</f>
        <v>#N/A</v>
      </c>
      <c r="H2" s="270"/>
    </row>
    <row r="3" spans="1:8" ht="16.5" thickTop="1" thickBot="1">
      <c r="A3" s="114">
        <v>1</v>
      </c>
      <c r="B3" s="115"/>
      <c r="C3" s="115"/>
      <c r="D3" s="115"/>
      <c r="E3" s="115"/>
      <c r="F3" s="116"/>
      <c r="G3" s="115"/>
    </row>
    <row r="4" spans="1:8" ht="16.5" thickTop="1" thickBot="1">
      <c r="A4" s="114">
        <v>2</v>
      </c>
      <c r="B4" s="115"/>
      <c r="C4" s="115"/>
      <c r="D4" s="115"/>
      <c r="E4" s="115"/>
      <c r="F4" s="116"/>
      <c r="G4" s="115"/>
    </row>
    <row r="5" spans="1:8" ht="16.5" thickTop="1" thickBot="1">
      <c r="A5" s="114">
        <v>3</v>
      </c>
      <c r="B5" s="115"/>
      <c r="C5" s="115"/>
      <c r="D5" s="115"/>
      <c r="E5" s="115"/>
      <c r="F5" s="116"/>
      <c r="G5" s="115"/>
    </row>
    <row r="6" spans="1:8" ht="16.5" thickTop="1" thickBot="1">
      <c r="A6" s="114">
        <v>4</v>
      </c>
      <c r="B6" s="115"/>
      <c r="C6" s="115"/>
      <c r="D6" s="115"/>
      <c r="E6" s="115"/>
      <c r="F6" s="116"/>
      <c r="G6" s="115"/>
    </row>
    <row r="7" spans="1:8" ht="16.5" thickTop="1" thickBot="1">
      <c r="A7" s="114">
        <v>5</v>
      </c>
      <c r="B7" s="115"/>
      <c r="C7" s="115"/>
      <c r="D7" s="115"/>
      <c r="E7" s="115"/>
      <c r="F7" s="116"/>
      <c r="G7" s="115"/>
    </row>
    <row r="8" spans="1:8" ht="16.5" thickTop="1" thickBot="1">
      <c r="A8" s="114">
        <v>6</v>
      </c>
      <c r="B8" s="115"/>
      <c r="C8" s="115"/>
      <c r="D8" s="115"/>
      <c r="E8" s="115"/>
      <c r="F8" s="116"/>
      <c r="G8" s="115"/>
    </row>
    <row r="9" spans="1:8" ht="16.5" thickTop="1" thickBot="1">
      <c r="A9" s="114">
        <v>7</v>
      </c>
      <c r="B9" s="115"/>
      <c r="C9" s="115"/>
      <c r="D9" s="115"/>
      <c r="E9" s="115"/>
      <c r="F9" s="116"/>
      <c r="G9" s="115"/>
    </row>
    <row r="10" spans="1:8" ht="16.5" thickTop="1" thickBot="1">
      <c r="A10" s="114">
        <v>8</v>
      </c>
      <c r="B10" s="115"/>
      <c r="C10" s="115"/>
      <c r="D10" s="115"/>
      <c r="E10" s="115"/>
      <c r="F10" s="116"/>
      <c r="G10" s="115"/>
    </row>
    <row r="11" spans="1:8" ht="16.5" thickTop="1" thickBot="1">
      <c r="A11" s="114">
        <v>9</v>
      </c>
      <c r="B11" s="115"/>
      <c r="C11" s="115"/>
      <c r="D11" s="115"/>
      <c r="E11" s="115"/>
      <c r="F11" s="116"/>
      <c r="G11" s="115"/>
    </row>
    <row r="12" spans="1:8" ht="16.5" thickTop="1" thickBot="1">
      <c r="A12" s="114">
        <v>10</v>
      </c>
      <c r="B12" s="115"/>
      <c r="C12" s="115"/>
      <c r="D12" s="115"/>
      <c r="E12" s="115"/>
      <c r="F12" s="116"/>
      <c r="G12" s="115"/>
    </row>
    <row r="13" spans="1:8" ht="16.5" thickTop="1" thickBot="1">
      <c r="A13" s="114">
        <v>11</v>
      </c>
      <c r="B13" s="115"/>
      <c r="C13" s="115"/>
      <c r="D13" s="115"/>
      <c r="E13" s="115"/>
      <c r="F13" s="116"/>
      <c r="G13" s="115"/>
    </row>
    <row r="14" spans="1:8" ht="16.5" thickTop="1" thickBot="1">
      <c r="A14" s="114">
        <v>12</v>
      </c>
      <c r="B14" s="115"/>
      <c r="C14" s="115"/>
      <c r="D14" s="115"/>
      <c r="E14" s="115"/>
      <c r="F14" s="116"/>
      <c r="G14" s="115"/>
    </row>
    <row r="15" spans="1:8" ht="16.5" thickTop="1" thickBot="1">
      <c r="A15" s="114">
        <v>13</v>
      </c>
      <c r="B15" s="115"/>
      <c r="C15" s="115"/>
      <c r="D15" s="115"/>
      <c r="E15" s="115"/>
      <c r="F15" s="116"/>
      <c r="G15" s="115"/>
    </row>
    <row r="16" spans="1:8" ht="16.5" thickTop="1" thickBot="1">
      <c r="A16" s="114">
        <v>14</v>
      </c>
      <c r="B16" s="115"/>
      <c r="C16" s="115"/>
      <c r="D16" s="115"/>
      <c r="E16" s="115"/>
      <c r="F16" s="116"/>
      <c r="G16" s="115"/>
    </row>
    <row r="17" spans="1:7" ht="16.5" thickTop="1" thickBot="1">
      <c r="A17" s="114">
        <v>15</v>
      </c>
      <c r="B17" s="115"/>
      <c r="C17" s="115"/>
      <c r="D17" s="115"/>
      <c r="E17" s="115"/>
      <c r="F17" s="116"/>
      <c r="G17" s="115"/>
    </row>
    <row r="18" spans="1:7" ht="16.5" thickTop="1" thickBot="1">
      <c r="A18" s="114">
        <v>16</v>
      </c>
      <c r="B18" s="115"/>
      <c r="C18" s="115"/>
      <c r="D18" s="115"/>
      <c r="E18" s="115"/>
      <c r="F18" s="116"/>
      <c r="G18" s="115"/>
    </row>
    <row r="19" spans="1:7" ht="16.5" thickTop="1" thickBot="1">
      <c r="A19" s="114">
        <v>17</v>
      </c>
      <c r="B19" s="115"/>
      <c r="C19" s="115"/>
      <c r="D19" s="115"/>
      <c r="E19" s="115"/>
      <c r="F19" s="116"/>
      <c r="G19" s="115"/>
    </row>
    <row r="20" spans="1:7" ht="16.5" thickTop="1" thickBot="1">
      <c r="A20" s="114">
        <v>18</v>
      </c>
      <c r="B20" s="115"/>
      <c r="C20" s="115"/>
      <c r="D20" s="115"/>
      <c r="E20" s="115"/>
      <c r="F20" s="116"/>
      <c r="G20" s="115"/>
    </row>
    <row r="21" spans="1:7" ht="16.5" thickTop="1" thickBot="1">
      <c r="A21" s="114">
        <v>19</v>
      </c>
      <c r="B21" s="115"/>
      <c r="C21" s="115"/>
      <c r="D21" s="115"/>
      <c r="E21" s="115"/>
      <c r="F21" s="116"/>
      <c r="G21" s="115"/>
    </row>
    <row r="22" spans="1:7" ht="16.5" thickTop="1" thickBot="1">
      <c r="A22" s="114">
        <v>20</v>
      </c>
      <c r="B22" s="115"/>
      <c r="C22" s="115"/>
      <c r="D22" s="115"/>
      <c r="E22" s="115"/>
      <c r="F22" s="116"/>
      <c r="G22" s="115"/>
    </row>
    <row r="23" spans="1:7" ht="16.5" thickTop="1" thickBot="1">
      <c r="A23" s="114">
        <v>21</v>
      </c>
      <c r="B23" s="115"/>
      <c r="C23" s="115"/>
      <c r="D23" s="115"/>
      <c r="E23" s="115"/>
      <c r="F23" s="116"/>
      <c r="G23" s="115"/>
    </row>
    <row r="24" spans="1:7" ht="16.5" thickTop="1" thickBot="1">
      <c r="A24" s="114">
        <v>22</v>
      </c>
      <c r="B24" s="115"/>
      <c r="C24" s="115"/>
      <c r="D24" s="115"/>
      <c r="E24" s="115"/>
      <c r="F24" s="116"/>
      <c r="G24" s="115"/>
    </row>
    <row r="25" spans="1:7" ht="16.5" thickTop="1" thickBot="1">
      <c r="A25" s="114">
        <v>23</v>
      </c>
      <c r="B25" s="115"/>
      <c r="C25" s="115"/>
      <c r="D25" s="115"/>
      <c r="E25" s="115"/>
      <c r="F25" s="116"/>
      <c r="G25" s="115"/>
    </row>
    <row r="26" spans="1:7" ht="16.5" thickTop="1" thickBot="1">
      <c r="A26" s="114">
        <v>24</v>
      </c>
      <c r="B26" s="115"/>
      <c r="C26" s="115"/>
      <c r="D26" s="115"/>
      <c r="E26" s="115"/>
      <c r="F26" s="116"/>
      <c r="G26" s="115"/>
    </row>
    <row r="27" spans="1:7" ht="16.5" thickTop="1" thickBot="1">
      <c r="A27" s="114">
        <v>25</v>
      </c>
      <c r="B27" s="115"/>
      <c r="C27" s="115"/>
      <c r="D27" s="115"/>
      <c r="E27" s="115"/>
      <c r="F27" s="116"/>
      <c r="G27" s="115"/>
    </row>
    <row r="28" spans="1:7" ht="16.5" thickTop="1" thickBot="1">
      <c r="A28" s="114">
        <v>26</v>
      </c>
      <c r="B28" s="115"/>
      <c r="C28" s="115"/>
      <c r="D28" s="115"/>
      <c r="E28" s="115"/>
      <c r="F28" s="116"/>
      <c r="G28" s="115"/>
    </row>
    <row r="29" spans="1:7" ht="16.5" thickTop="1" thickBot="1">
      <c r="A29" s="114">
        <v>27</v>
      </c>
      <c r="B29" s="115"/>
      <c r="C29" s="115"/>
      <c r="D29" s="115"/>
      <c r="E29" s="115"/>
      <c r="F29" s="116"/>
      <c r="G29" s="115"/>
    </row>
    <row r="30" spans="1:7" ht="16.5" thickTop="1" thickBot="1">
      <c r="A30" s="114">
        <v>28</v>
      </c>
      <c r="B30" s="115"/>
      <c r="C30" s="115"/>
      <c r="D30" s="115"/>
      <c r="E30" s="115"/>
      <c r="F30" s="116"/>
      <c r="G30" s="115"/>
    </row>
    <row r="31" spans="1:7" ht="16.5" thickTop="1" thickBot="1">
      <c r="A31" s="114">
        <v>29</v>
      </c>
      <c r="B31" s="115"/>
      <c r="C31" s="115"/>
      <c r="D31" s="115"/>
      <c r="E31" s="115"/>
      <c r="F31" s="116"/>
      <c r="G31" s="115"/>
    </row>
    <row r="32" spans="1:7" ht="16.5" thickTop="1" thickBot="1">
      <c r="A32" s="114">
        <v>30</v>
      </c>
      <c r="B32" s="115"/>
      <c r="C32" s="115"/>
      <c r="D32" s="115"/>
      <c r="E32" s="115"/>
      <c r="F32" s="116"/>
      <c r="G32" s="115"/>
    </row>
    <row r="33" spans="2:4" ht="15.75" thickTop="1">
      <c r="B33" s="114"/>
      <c r="C33" s="114"/>
      <c r="D33" s="114"/>
    </row>
    <row r="34" spans="2:4">
      <c r="B34" s="114"/>
      <c r="C34" s="114"/>
      <c r="D34" s="114"/>
    </row>
    <row r="35" spans="2:4">
      <c r="B35" s="114"/>
      <c r="C35" s="114"/>
      <c r="D35" s="114"/>
    </row>
    <row r="36" spans="2:4">
      <c r="B36" s="114"/>
      <c r="C36" s="114"/>
      <c r="D36" s="114"/>
    </row>
    <row r="37" spans="2:4">
      <c r="B37" s="114"/>
      <c r="C37" s="114"/>
      <c r="D37" s="114"/>
    </row>
    <row r="38" spans="2:4">
      <c r="B38" s="114"/>
      <c r="C38" s="114"/>
      <c r="D38" s="114"/>
    </row>
    <row r="39" spans="2:4">
      <c r="B39" s="114"/>
      <c r="C39" s="114"/>
      <c r="D39" s="114"/>
    </row>
    <row r="40" spans="2:4">
      <c r="B40" s="114"/>
      <c r="C40" s="114"/>
      <c r="D40" s="114"/>
    </row>
    <row r="41" spans="2:4">
      <c r="B41" s="114"/>
      <c r="C41" s="114"/>
      <c r="D41" s="114"/>
    </row>
    <row r="42" spans="2:4">
      <c r="B42" s="114"/>
      <c r="C42" s="114"/>
      <c r="D42" s="114"/>
    </row>
    <row r="43" spans="2:4">
      <c r="B43" s="114"/>
      <c r="C43" s="114"/>
      <c r="D43" s="114"/>
    </row>
    <row r="44" spans="2:4">
      <c r="B44" s="114"/>
      <c r="C44" s="114"/>
      <c r="D44" s="114"/>
    </row>
    <row r="45" spans="2:4">
      <c r="B45" s="114"/>
      <c r="C45" s="114"/>
      <c r="D45" s="114"/>
    </row>
    <row r="46" spans="2:4">
      <c r="B46" s="114"/>
      <c r="C46" s="114"/>
      <c r="D46" s="114"/>
    </row>
    <row r="47" spans="2:4">
      <c r="B47" s="114"/>
      <c r="C47" s="114"/>
      <c r="D47" s="114"/>
    </row>
    <row r="48" spans="2:4">
      <c r="B48" s="114"/>
      <c r="C48" s="114"/>
      <c r="D48" s="114"/>
    </row>
    <row r="49" spans="1:4">
      <c r="B49" s="114"/>
      <c r="C49" s="114"/>
      <c r="D49" s="114"/>
    </row>
    <row r="50" spans="1:4">
      <c r="B50" s="114"/>
      <c r="C50" s="114"/>
      <c r="D50" s="114"/>
    </row>
    <row r="51" spans="1:4">
      <c r="B51" s="114"/>
      <c r="C51" s="114"/>
      <c r="D51" s="114"/>
    </row>
    <row r="52" spans="1:4">
      <c r="B52" s="114"/>
      <c r="C52" s="114"/>
      <c r="D52" s="114"/>
    </row>
    <row r="53" spans="1:4">
      <c r="B53" s="114"/>
      <c r="C53" s="114"/>
      <c r="D53" s="114"/>
    </row>
    <row r="54" spans="1:4">
      <c r="B54" s="114"/>
      <c r="C54" s="114"/>
      <c r="D54" s="114"/>
    </row>
    <row r="55" spans="1:4">
      <c r="B55" s="114"/>
      <c r="C55" s="114"/>
      <c r="D55" s="114"/>
    </row>
    <row r="56" spans="1:4">
      <c r="B56" s="114"/>
      <c r="C56" s="114"/>
      <c r="D56" s="114"/>
    </row>
    <row r="57" spans="1:4">
      <c r="B57" s="114"/>
      <c r="C57" s="114"/>
      <c r="D57" s="114"/>
    </row>
    <row r="58" spans="1:4">
      <c r="B58" s="114"/>
      <c r="C58" s="114"/>
      <c r="D58" s="114"/>
    </row>
    <row r="59" spans="1:4">
      <c r="B59" s="114"/>
      <c r="C59" s="114"/>
      <c r="D59" s="114"/>
    </row>
    <row r="60" spans="1:4">
      <c r="B60" s="114"/>
      <c r="C60" s="114"/>
      <c r="D60" s="114"/>
    </row>
    <row r="61" spans="1:4">
      <c r="B61" s="114"/>
      <c r="C61" s="114"/>
      <c r="D61" s="114"/>
    </row>
    <row r="62" spans="1:4">
      <c r="B62" s="114"/>
      <c r="C62" s="114"/>
      <c r="D62" s="114"/>
    </row>
    <row r="64" spans="1:4">
      <c r="A64" s="114"/>
      <c r="B64" s="114"/>
      <c r="C64" s="114"/>
      <c r="D64" s="114"/>
    </row>
  </sheetData>
  <sheetProtection algorithmName="SHA-512" hashValue="Ivb5P91wXMiwkv5K0kl2U0vDiYjWVpc6oq9KP+UnDOsZig4sQ56jlKaS+sNA5VssY2RcFZMVQL75//jdUdZtnA==" saltValue="z7s5ARaoIJMGEtVEP1YDMg==" spinCount="100000" sheet="1" selectLockedCells="1"/>
  <dataValidations count="3">
    <dataValidation type="list" allowBlank="1" showInputMessage="1" showErrorMessage="1" prompt="Permanent Physical Site (PPS)_x000a_Permanent Virtual Site (PVS)_x000a_Temporary Physical Site (TPS)_x000a_Temporary Virtual Site (TPS)" sqref="F3:F32" xr:uid="{00000000-0002-0000-0300-000000000000}">
      <formula1>"PPS, PVS, TPS, TVS"</formula1>
    </dataValidation>
    <dataValidation type="list" allowBlank="1" showInputMessage="1" showErrorMessage="1" sqref="H2" xr:uid="{00000000-0002-0000-0300-000001000000}">
      <formula1>"Major Project Management Site, Minor Service/Installation Site"</formula1>
    </dataValidation>
    <dataValidation allowBlank="1" showInputMessage="1" showErrorMessage="1" prompt="Permanent Physical Site (PPS)_x000a_Permanent Virtual Site (PVS)_x000a_Temporary Physical Site (TPS)_x000a_Temporary Virtual Site (TPS)" sqref="F2" xr:uid="{00000000-0002-0000-0300-000002000000}"/>
  </dataValidations>
  <pageMargins left="0.25" right="0.25" top="0.75" bottom="0.75" header="0.3" footer="0.3"/>
  <pageSetup paperSize="9" orientation="landscape" verticalDpi="300" r:id="rId1"/>
  <customProperties>
    <customPr name="LastActive" r:id="rId2"/>
  </customProperties>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Y43"/>
  <sheetViews>
    <sheetView showGridLines="0" topLeftCell="A9" zoomScale="80" zoomScaleNormal="80" workbookViewId="0">
      <selection activeCell="F20" sqref="F20"/>
    </sheetView>
  </sheetViews>
  <sheetFormatPr defaultRowHeight="15"/>
  <cols>
    <col min="1" max="1" width="16.42578125" customWidth="1"/>
    <col min="2" max="2" width="12.42578125" customWidth="1"/>
    <col min="3" max="3" width="18" customWidth="1"/>
    <col min="4" max="4" width="16.85546875" customWidth="1"/>
    <col min="5" max="11" width="10.42578125" customWidth="1"/>
    <col min="12" max="12" width="11.42578125" customWidth="1"/>
    <col min="14" max="14" width="11.140625" bestFit="1" customWidth="1"/>
    <col min="15" max="15" width="7" customWidth="1"/>
    <col min="20" max="20" width="9.85546875" customWidth="1"/>
    <col min="21" max="24" width="8.5703125" customWidth="1"/>
  </cols>
  <sheetData>
    <row r="1" spans="1:24" ht="14.25" customHeight="1">
      <c r="A1" s="404" t="s">
        <v>1</v>
      </c>
      <c r="B1" s="404"/>
      <c r="C1" s="404"/>
      <c r="D1" s="404"/>
      <c r="E1" s="20"/>
      <c r="F1" s="20"/>
      <c r="G1" s="20"/>
      <c r="H1" s="405" t="s">
        <v>106</v>
      </c>
      <c r="I1" s="405"/>
      <c r="J1" s="212"/>
      <c r="K1" s="212"/>
      <c r="L1" s="404" t="s">
        <v>3</v>
      </c>
      <c r="M1" s="404"/>
      <c r="N1" s="404"/>
      <c r="O1" s="404"/>
      <c r="S1" s="20"/>
      <c r="T1" s="405" t="s">
        <v>106</v>
      </c>
      <c r="U1" s="405"/>
      <c r="V1" s="212"/>
      <c r="W1" s="212"/>
      <c r="X1" s="212"/>
    </row>
    <row r="2" spans="1:24" ht="14.25" customHeight="1">
      <c r="A2" s="404"/>
      <c r="B2" s="404"/>
      <c r="C2" s="404"/>
      <c r="D2" s="404"/>
      <c r="E2" s="20"/>
      <c r="F2" s="20"/>
      <c r="G2" s="405" t="s">
        <v>107</v>
      </c>
      <c r="H2" s="405"/>
      <c r="I2" s="405"/>
      <c r="J2" s="212"/>
      <c r="K2" s="212"/>
      <c r="L2" s="404"/>
      <c r="M2" s="404"/>
      <c r="N2" s="404"/>
      <c r="O2" s="404"/>
      <c r="S2" s="405" t="s">
        <v>108</v>
      </c>
      <c r="T2" s="405"/>
      <c r="U2" s="405"/>
      <c r="V2" s="212"/>
      <c r="W2" s="212"/>
      <c r="X2" s="212"/>
    </row>
    <row r="3" spans="1:24" ht="14.25" customHeight="1">
      <c r="A3" s="404"/>
      <c r="B3" s="404"/>
      <c r="C3" s="404"/>
      <c r="D3" s="404"/>
      <c r="E3" s="20"/>
      <c r="F3" s="20"/>
      <c r="G3" s="547" t="s">
        <v>1091</v>
      </c>
      <c r="H3" s="547"/>
      <c r="I3" s="547"/>
      <c r="J3" s="213"/>
      <c r="K3" s="213"/>
      <c r="L3" s="404"/>
      <c r="M3" s="404"/>
      <c r="N3" s="404"/>
      <c r="O3" s="404"/>
      <c r="S3" s="547" t="s">
        <v>1091</v>
      </c>
      <c r="T3" s="547"/>
      <c r="U3" s="547"/>
      <c r="V3" s="213"/>
      <c r="W3" s="213"/>
      <c r="X3" s="213"/>
    </row>
    <row r="4" spans="1:24">
      <c r="A4" s="539" t="s">
        <v>109</v>
      </c>
      <c r="B4" s="540"/>
      <c r="C4" s="540"/>
      <c r="D4" s="540"/>
      <c r="E4" s="540"/>
      <c r="F4" s="540"/>
      <c r="G4" s="540"/>
      <c r="H4" s="540"/>
      <c r="I4" s="541"/>
      <c r="J4" s="214"/>
      <c r="K4" s="214"/>
      <c r="L4" s="539" t="s">
        <v>110</v>
      </c>
      <c r="M4" s="540"/>
      <c r="N4" s="540"/>
      <c r="O4" s="540"/>
      <c r="P4" s="540"/>
      <c r="Q4" s="540"/>
      <c r="R4" s="540"/>
      <c r="S4" s="540"/>
      <c r="T4" s="540"/>
      <c r="U4" s="541"/>
      <c r="V4" s="214"/>
      <c r="W4" s="214"/>
      <c r="X4" s="214"/>
    </row>
    <row r="5" spans="1:24">
      <c r="A5" s="9"/>
      <c r="B5" s="10"/>
      <c r="C5" s="10"/>
      <c r="D5" s="10"/>
      <c r="E5" s="10"/>
      <c r="F5" s="10"/>
      <c r="G5" s="10"/>
      <c r="H5" s="10"/>
      <c r="I5" s="211"/>
      <c r="J5" s="12"/>
      <c r="K5" s="12"/>
      <c r="L5" s="19"/>
      <c r="M5" s="10"/>
      <c r="N5" s="10"/>
      <c r="O5" s="10"/>
      <c r="P5" s="10"/>
      <c r="Q5" s="10"/>
      <c r="R5" s="11" t="s">
        <v>111</v>
      </c>
      <c r="S5" s="10"/>
      <c r="T5" s="11" t="s">
        <v>111</v>
      </c>
      <c r="U5" s="12"/>
    </row>
    <row r="6" spans="1:24" ht="25.15" customHeight="1" thickBot="1">
      <c r="A6" s="611" t="s">
        <v>112</v>
      </c>
      <c r="B6" s="611"/>
      <c r="C6" s="548">
        <f>'1-Questionnaire'!C5:G5</f>
        <v>0</v>
      </c>
      <c r="D6" s="548"/>
      <c r="E6" s="548"/>
      <c r="F6" s="548"/>
      <c r="G6" s="548"/>
      <c r="H6" s="38" t="s">
        <v>9</v>
      </c>
      <c r="I6" s="169" t="s">
        <v>113</v>
      </c>
      <c r="J6" s="226"/>
      <c r="K6" s="226"/>
      <c r="L6" s="537" t="str">
        <f>VLOOKUP(C9, Sheet1!A1:K43, 9,FALSE)</f>
        <v>*N/A</v>
      </c>
      <c r="M6" s="542" t="s">
        <v>114</v>
      </c>
      <c r="N6" s="543"/>
      <c r="O6" s="29">
        <v>0</v>
      </c>
      <c r="P6" s="550" t="s">
        <v>115</v>
      </c>
      <c r="Q6" s="550"/>
      <c r="R6" s="5">
        <f>IF(D28="Lead Auditor",A28,IF(D28="Auditor",A28," "))</f>
        <v>0</v>
      </c>
      <c r="S6" s="24">
        <v>1</v>
      </c>
      <c r="T6" s="5" t="str">
        <f>IF(D30="Lead Auditor",A30,IF(D30="Auditor",A30," "))</f>
        <v xml:space="preserve"> </v>
      </c>
      <c r="U6" s="25"/>
      <c r="V6" s="215"/>
      <c r="W6" s="215"/>
      <c r="X6" s="215"/>
    </row>
    <row r="7" spans="1:24" ht="25.15" customHeight="1" thickTop="1" thickBot="1">
      <c r="A7" s="611" t="s">
        <v>116</v>
      </c>
      <c r="B7" s="611"/>
      <c r="C7" s="548">
        <f>'1-Questionnaire'!C6:G6</f>
        <v>0</v>
      </c>
      <c r="D7" s="548"/>
      <c r="E7" s="548"/>
      <c r="F7" s="548"/>
      <c r="G7" s="548"/>
      <c r="H7" s="39" t="s">
        <v>13</v>
      </c>
      <c r="I7" s="52" t="str">
        <f>'1-Questionnaire'!I6</f>
        <v>Egypt</v>
      </c>
      <c r="J7" s="227"/>
      <c r="K7" s="227"/>
      <c r="L7" s="537"/>
      <c r="M7" s="542" t="s">
        <v>117</v>
      </c>
      <c r="N7" s="543"/>
      <c r="O7" s="48" t="e">
        <f>((IF(ISBLANK(S6),"1",S6)-1)+(IF(ISBLANK(S7),"1",S7)-1)+(IF(ISBLANK(U6),"1",U6)-1)+(IF(ISBLANK(U7),"1",U7)-1))/((COUNTA(A28:A31)*('3-Quotation'!Q8-1)))*100</f>
        <v>#DIV/0!</v>
      </c>
      <c r="P7" s="551"/>
      <c r="Q7" s="551"/>
      <c r="R7" s="6" t="str">
        <f>IF(D29="Lead Auditor",A29,IF(D29="Auditor",A29," "))</f>
        <v xml:space="preserve"> </v>
      </c>
      <c r="S7" s="24"/>
      <c r="T7" s="6" t="str">
        <f>IF(D31="Lead Auditor",A31,IF(D31="Auditor",A31," "))</f>
        <v xml:space="preserve"> </v>
      </c>
      <c r="U7" s="25"/>
      <c r="V7" s="215"/>
      <c r="W7" s="215"/>
      <c r="X7" s="215"/>
    </row>
    <row r="8" spans="1:24" ht="25.15" customHeight="1" thickTop="1" thickBot="1">
      <c r="A8" s="549" t="s">
        <v>118</v>
      </c>
      <c r="B8" s="549"/>
      <c r="C8" s="548" t="str">
        <f>IF('1-Questionnaire'!C20=""," ",'1-Questionnaire'!C20)</f>
        <v xml:space="preserve"> </v>
      </c>
      <c r="D8" s="548"/>
      <c r="E8" s="548"/>
      <c r="F8" s="548"/>
      <c r="G8" s="21" t="s">
        <v>119</v>
      </c>
      <c r="H8" s="39" t="s">
        <v>120</v>
      </c>
      <c r="I8" s="27" t="s">
        <v>121</v>
      </c>
      <c r="J8" s="228"/>
      <c r="K8" s="228"/>
      <c r="L8" s="119" t="str">
        <f>VLOOKUP(C9, Sheet1!A1:K43, 2,FALSE)</f>
        <v>*Required</v>
      </c>
      <c r="M8" s="542" t="s">
        <v>122</v>
      </c>
      <c r="N8" s="542"/>
      <c r="O8" s="123" t="str">
        <f>VLOOKUP(C9, Sheet1!A1:K43, 5,FALSE)</f>
        <v>Design</v>
      </c>
      <c r="P8" s="24"/>
      <c r="Q8" s="123" t="str">
        <f>VLOOKUP(C9, Sheet1!A1:K43, 6,FALSE)</f>
        <v>C. Property</v>
      </c>
      <c r="R8" s="24"/>
      <c r="S8" s="123" t="str">
        <f>VLOOKUP(C9, Sheet1!A1:K43, 7,FALSE)</f>
        <v>P. Validation</v>
      </c>
      <c r="T8" s="24"/>
      <c r="U8" s="124" t="s">
        <v>123</v>
      </c>
      <c r="V8" s="216"/>
      <c r="W8" s="216"/>
      <c r="X8" s="216"/>
    </row>
    <row r="9" spans="1:24" ht="25.15" customHeight="1" thickTop="1" thickBot="1">
      <c r="A9" s="549" t="s">
        <v>54</v>
      </c>
      <c r="B9" s="549"/>
      <c r="C9" s="612" t="str">
        <f>'1-Questionnaire'!C18</f>
        <v>QMS 2015</v>
      </c>
      <c r="D9" s="613"/>
      <c r="E9" s="613"/>
      <c r="F9" s="613"/>
      <c r="G9" s="231">
        <f>VLOOKUP(C9,Sheet1!A1:K43,10,FALSE)</f>
        <v>2</v>
      </c>
      <c r="H9" s="40" t="s">
        <v>56</v>
      </c>
      <c r="I9" s="47" t="str">
        <f>'1-Questionnaire'!I18</f>
        <v>Seperatly</v>
      </c>
      <c r="J9" s="229"/>
      <c r="K9" s="229"/>
      <c r="L9" s="544" t="str">
        <f>VLOOKUP(C9, Sheet1!A1:K43, 4,FALSE)</f>
        <v>*Required</v>
      </c>
      <c r="M9" s="552" t="s">
        <v>1070</v>
      </c>
      <c r="N9" s="553"/>
      <c r="O9" s="558"/>
      <c r="P9" s="559"/>
      <c r="Q9" s="559"/>
      <c r="R9" s="559"/>
      <c r="S9" s="559"/>
      <c r="T9" s="559"/>
      <c r="U9" s="560"/>
      <c r="V9" s="217"/>
      <c r="W9" s="217"/>
      <c r="X9" s="217"/>
    </row>
    <row r="10" spans="1:24" ht="25.15" customHeight="1" thickTop="1" thickBot="1">
      <c r="A10" s="611" t="s">
        <v>64</v>
      </c>
      <c r="B10" s="611"/>
      <c r="C10" s="548">
        <f>'1-Questionnaire'!C21:G21</f>
        <v>0</v>
      </c>
      <c r="D10" s="548"/>
      <c r="E10" s="548"/>
      <c r="F10" s="548"/>
      <c r="G10" s="548"/>
      <c r="H10" s="41" t="s">
        <v>65</v>
      </c>
      <c r="I10" s="46" t="str">
        <f>'1-Questionnaire'!I21</f>
        <v>EGAC</v>
      </c>
      <c r="J10" s="230"/>
      <c r="K10" s="230"/>
      <c r="L10" s="545"/>
      <c r="M10" s="554"/>
      <c r="N10" s="555"/>
      <c r="O10" s="561"/>
      <c r="P10" s="562"/>
      <c r="Q10" s="562"/>
      <c r="R10" s="562"/>
      <c r="S10" s="562"/>
      <c r="T10" s="562"/>
      <c r="U10" s="563"/>
      <c r="V10" s="217"/>
      <c r="W10" s="217"/>
      <c r="X10" s="217"/>
    </row>
    <row r="11" spans="1:24" ht="33" customHeight="1" thickTop="1" thickBot="1">
      <c r="A11" s="387" t="s">
        <v>32</v>
      </c>
      <c r="B11" s="388"/>
      <c r="C11" s="268">
        <f>'1-Questionnaire'!C10</f>
        <v>0</v>
      </c>
      <c r="D11" s="42" t="s">
        <v>33</v>
      </c>
      <c r="E11" s="81">
        <f>'1-Questionnaire'!E10</f>
        <v>1</v>
      </c>
      <c r="F11" s="42" t="s">
        <v>34</v>
      </c>
      <c r="G11" s="81">
        <f>'1-Questionnaire'!G10</f>
        <v>8</v>
      </c>
      <c r="H11" s="575" t="s">
        <v>1069</v>
      </c>
      <c r="I11" s="576"/>
      <c r="J11" s="631" t="s">
        <v>124</v>
      </c>
      <c r="K11" s="632"/>
      <c r="L11" s="545"/>
      <c r="M11" s="554"/>
      <c r="N11" s="555"/>
      <c r="O11" s="561"/>
      <c r="P11" s="562"/>
      <c r="Q11" s="562"/>
      <c r="R11" s="562"/>
      <c r="S11" s="562"/>
      <c r="T11" s="562"/>
      <c r="U11" s="563"/>
      <c r="V11" s="217"/>
      <c r="W11" s="217"/>
      <c r="X11" s="217"/>
    </row>
    <row r="12" spans="1:24" ht="25.15" customHeight="1" thickTop="1">
      <c r="A12" s="434" t="s">
        <v>38</v>
      </c>
      <c r="B12" s="435"/>
      <c r="C12" s="569">
        <f>'1-Questionnaire'!C12</f>
        <v>0</v>
      </c>
      <c r="D12" s="584" t="s">
        <v>125</v>
      </c>
      <c r="E12" s="585"/>
      <c r="F12" s="588">
        <f>('1-Questionnaire'!G12*('1-Questionnaire'!G13/'1-Questionnaire'!G10))+'1-Questionnaire'!E12+('1-Questionnaire'!I12*('1-Questionnaire'!I13/365))</f>
        <v>0</v>
      </c>
      <c r="G12" s="589"/>
      <c r="H12" s="575"/>
      <c r="I12" s="576"/>
      <c r="J12" s="633"/>
      <c r="K12" s="634"/>
      <c r="L12" s="545"/>
      <c r="M12" s="554"/>
      <c r="N12" s="555"/>
      <c r="O12" s="561"/>
      <c r="P12" s="562"/>
      <c r="Q12" s="562"/>
      <c r="R12" s="562"/>
      <c r="S12" s="562"/>
      <c r="T12" s="562"/>
      <c r="U12" s="563"/>
      <c r="V12" s="217"/>
      <c r="W12" s="217"/>
      <c r="X12" s="217"/>
    </row>
    <row r="13" spans="1:24" ht="25.15" customHeight="1" thickBot="1">
      <c r="A13" s="393"/>
      <c r="B13" s="394"/>
      <c r="C13" s="570"/>
      <c r="D13" s="586"/>
      <c r="E13" s="587"/>
      <c r="F13" s="590"/>
      <c r="G13" s="591"/>
      <c r="H13" s="43" t="s">
        <v>35</v>
      </c>
      <c r="I13" s="82">
        <f>'1-Questionnaire'!I10</f>
        <v>1</v>
      </c>
      <c r="J13" s="235" t="s">
        <v>35</v>
      </c>
      <c r="K13" s="82">
        <f>'1-Questionnaire'!I11</f>
        <v>1</v>
      </c>
      <c r="L13" s="546"/>
      <c r="M13" s="556"/>
      <c r="N13" s="557"/>
      <c r="O13" s="564"/>
      <c r="P13" s="565"/>
      <c r="Q13" s="565"/>
      <c r="R13" s="565"/>
      <c r="S13" s="565"/>
      <c r="T13" s="565"/>
      <c r="U13" s="566"/>
      <c r="V13" s="217"/>
      <c r="W13" s="217"/>
      <c r="X13" s="217"/>
    </row>
    <row r="14" spans="1:24" ht="25.15" customHeight="1" thickTop="1" thickBot="1">
      <c r="A14" s="391" t="s">
        <v>47</v>
      </c>
      <c r="B14" s="392"/>
      <c r="C14" s="569">
        <f>'1-Questionnaire'!C14</f>
        <v>0</v>
      </c>
      <c r="D14" s="592" t="s">
        <v>125</v>
      </c>
      <c r="E14" s="593"/>
      <c r="F14" s="596">
        <f>('1-Questionnaire'!G14*('1-Questionnaire'!G15/'1-Questionnaire'!G10))+'1-Questionnaire'!E14+('1-Questionnaire'!I14*('1-Questionnaire'!I15/365))</f>
        <v>0</v>
      </c>
      <c r="G14" s="597"/>
      <c r="H14" s="43" t="s">
        <v>126</v>
      </c>
      <c r="I14" s="82">
        <f>C11+C12+C14</f>
        <v>0</v>
      </c>
      <c r="J14" s="43" t="s">
        <v>126</v>
      </c>
      <c r="K14" s="82">
        <f>'1-Questionnaire'!C11+C12+C14</f>
        <v>0</v>
      </c>
      <c r="L14" s="537" t="str">
        <f>VLOOKUP(C9, Sheet1!A1:K43, 3,FALSE)</f>
        <v>*N/A</v>
      </c>
      <c r="M14" s="577" t="s">
        <v>127</v>
      </c>
      <c r="N14" s="577"/>
      <c r="O14" s="48">
        <f>'1-Questionnaire'!M5</f>
        <v>0</v>
      </c>
      <c r="P14" s="538" t="s">
        <v>128</v>
      </c>
      <c r="Q14" s="538"/>
      <c r="R14" s="24">
        <v>0</v>
      </c>
      <c r="S14" s="577" t="s">
        <v>129</v>
      </c>
      <c r="T14" s="577"/>
      <c r="U14" s="50">
        <f>'1-Questionnaire'!S5</f>
        <v>0</v>
      </c>
      <c r="V14" s="1"/>
      <c r="W14" s="1"/>
      <c r="X14" s="1"/>
    </row>
    <row r="15" spans="1:24" ht="25.15" customHeight="1" thickTop="1" thickBot="1">
      <c r="A15" s="393"/>
      <c r="B15" s="394"/>
      <c r="C15" s="571"/>
      <c r="D15" s="594"/>
      <c r="E15" s="595"/>
      <c r="F15" s="598"/>
      <c r="G15" s="599"/>
      <c r="H15" s="43" t="s">
        <v>130</v>
      </c>
      <c r="I15" s="82">
        <f>C11+F12+F14</f>
        <v>0</v>
      </c>
      <c r="J15" s="43" t="s">
        <v>130</v>
      </c>
      <c r="K15" s="82">
        <f>'1-Questionnaire'!C11+(('1-Questionnaire'!G12*('1-Questionnaire'!G13/'1-Questionnaire'!G11))+'1-Questionnaire'!E12+('1-Questionnaire'!I12*('1-Questionnaire'!I13/365)))+(('1-Questionnaire'!G14*('1-Questionnaire'!G15/'1-Questionnaire'!G11))+'1-Questionnaire'!E14+('1-Questionnaire'!I14*('1-Questionnaire'!I15/365)))</f>
        <v>0</v>
      </c>
      <c r="L15" s="537"/>
      <c r="M15" s="577" t="s">
        <v>131</v>
      </c>
      <c r="N15" s="577"/>
      <c r="O15" s="49">
        <f>'1-Questionnaire'!M6</f>
        <v>0</v>
      </c>
      <c r="P15" s="577" t="s">
        <v>132</v>
      </c>
      <c r="Q15" s="577"/>
      <c r="R15" s="48">
        <f>'1-Questionnaire'!S6</f>
        <v>0</v>
      </c>
      <c r="S15" s="577" t="s">
        <v>133</v>
      </c>
      <c r="T15" s="577"/>
      <c r="U15" s="50" t="str">
        <f>'1-Questionnaire'!S7</f>
        <v>No</v>
      </c>
      <c r="V15" s="1"/>
      <c r="W15" s="1"/>
      <c r="X15" s="1"/>
    </row>
    <row r="16" spans="1:24" ht="14.65" customHeight="1" thickTop="1">
      <c r="A16" s="13"/>
      <c r="I16" s="17"/>
      <c r="J16" s="17"/>
      <c r="K16" s="17"/>
      <c r="L16" s="537" t="str">
        <f>VLOOKUP(C9, Sheet1!A1:K43, 4,FALSE)</f>
        <v>*Required</v>
      </c>
      <c r="M16" s="578" t="s">
        <v>134</v>
      </c>
      <c r="N16" s="578"/>
      <c r="O16" s="618" t="str">
        <f>'1-Questionnaire'!S13</f>
        <v>No</v>
      </c>
      <c r="P16" s="620" t="s">
        <v>135</v>
      </c>
      <c r="Q16" s="621"/>
      <c r="R16" s="624">
        <f>'1-Questionnaire'!M14</f>
        <v>0</v>
      </c>
      <c r="S16" s="625"/>
      <c r="T16" s="657" t="s">
        <v>136</v>
      </c>
      <c r="U16" s="659"/>
      <c r="V16" s="215"/>
      <c r="W16" s="215"/>
      <c r="X16" s="215"/>
    </row>
    <row r="17" spans="1:25">
      <c r="A17" s="608" t="s">
        <v>137</v>
      </c>
      <c r="B17" s="609"/>
      <c r="C17" s="609"/>
      <c r="D17" s="609"/>
      <c r="E17" s="609"/>
      <c r="F17" s="609"/>
      <c r="G17" s="609"/>
      <c r="H17" s="609"/>
      <c r="I17" s="609"/>
      <c r="J17" s="609"/>
      <c r="K17" s="628"/>
      <c r="L17" s="537"/>
      <c r="M17" s="579"/>
      <c r="N17" s="579"/>
      <c r="O17" s="619"/>
      <c r="P17" s="622"/>
      <c r="Q17" s="623"/>
      <c r="R17" s="626"/>
      <c r="S17" s="627"/>
      <c r="T17" s="658"/>
      <c r="U17" s="660"/>
      <c r="V17" s="215"/>
      <c r="W17" s="215"/>
      <c r="X17" s="215"/>
    </row>
    <row r="18" spans="1:25" ht="14.25" customHeight="1">
      <c r="A18" s="13"/>
      <c r="K18" s="17"/>
      <c r="L18" s="537"/>
      <c r="M18" s="661" t="s">
        <v>138</v>
      </c>
      <c r="N18" s="662"/>
      <c r="O18" s="655">
        <f>Q18+S18</f>
        <v>0</v>
      </c>
      <c r="P18" s="614" t="s">
        <v>139</v>
      </c>
      <c r="Q18" s="651">
        <v>0</v>
      </c>
      <c r="R18" s="614" t="s">
        <v>140</v>
      </c>
      <c r="S18" s="653">
        <v>0</v>
      </c>
      <c r="T18" s="616" t="s">
        <v>141</v>
      </c>
      <c r="U18" s="651">
        <v>0</v>
      </c>
      <c r="V18" s="115"/>
      <c r="W18" s="115"/>
      <c r="X18" s="115"/>
    </row>
    <row r="19" spans="1:25" ht="26.25" customHeight="1">
      <c r="A19" s="239" t="s">
        <v>142</v>
      </c>
      <c r="B19" s="238" t="s">
        <v>143</v>
      </c>
      <c r="C19" s="241" t="s">
        <v>144</v>
      </c>
      <c r="D19" s="241" t="s">
        <v>145</v>
      </c>
      <c r="E19" s="2" t="s">
        <v>146</v>
      </c>
      <c r="F19" s="15" t="s">
        <v>147</v>
      </c>
      <c r="G19" s="15" t="s">
        <v>148</v>
      </c>
      <c r="H19" s="15" t="s">
        <v>149</v>
      </c>
      <c r="I19" s="18" t="s">
        <v>150</v>
      </c>
      <c r="J19" s="18" t="s">
        <v>151</v>
      </c>
      <c r="K19" s="18" t="s">
        <v>152</v>
      </c>
      <c r="L19" s="537"/>
      <c r="M19" s="663"/>
      <c r="N19" s="664"/>
      <c r="O19" s="656"/>
      <c r="P19" s="615"/>
      <c r="Q19" s="652"/>
      <c r="R19" s="615"/>
      <c r="S19" s="654"/>
      <c r="T19" s="617"/>
      <c r="U19" s="652"/>
      <c r="V19" s="115"/>
      <c r="W19" s="234"/>
      <c r="X19" s="115"/>
    </row>
    <row r="20" spans="1:25" ht="33" customHeight="1">
      <c r="A20" s="314" t="s">
        <v>1084</v>
      </c>
      <c r="B20" s="240" t="str">
        <f>VLOOKUP(A20, Classification!A1:C71, 2,FALSE)</f>
        <v>Food Manufacturing</v>
      </c>
      <c r="C20" s="282"/>
      <c r="D20" s="282"/>
      <c r="E20" s="16" t="str">
        <f>VLOOKUP(A20, Classification!A1:C71, 3,FALSE)</f>
        <v>Accredit (EGAC)</v>
      </c>
      <c r="F20" s="30" t="s">
        <v>1074</v>
      </c>
      <c r="G20" s="30"/>
      <c r="H20" s="22"/>
      <c r="I20" s="113"/>
      <c r="J20" s="113"/>
      <c r="K20" s="113"/>
      <c r="L20" s="544" t="str">
        <f>L9</f>
        <v>*Required</v>
      </c>
      <c r="M20" s="670" t="s">
        <v>156</v>
      </c>
      <c r="N20" s="671"/>
      <c r="O20" s="49" t="str">
        <f>'1-Questionnaire'!I19</f>
        <v>Native</v>
      </c>
      <c r="P20" s="542" t="s">
        <v>157</v>
      </c>
      <c r="Q20" s="676"/>
      <c r="R20" s="120" t="str">
        <f>'1-Questionnaire'!N12</f>
        <v>Yes</v>
      </c>
      <c r="S20" s="674">
        <f>'1-Questionnaire'!O12</f>
        <v>0</v>
      </c>
      <c r="T20" s="674"/>
      <c r="U20" s="675"/>
      <c r="V20" s="218"/>
      <c r="W20" s="218"/>
      <c r="X20" s="218"/>
    </row>
    <row r="21" spans="1:25" ht="28.15" customHeight="1">
      <c r="A21" s="314"/>
      <c r="B21" s="237" t="e">
        <f>VLOOKUP(A21, Classification!A1:C71, 2,FALSE)</f>
        <v>#N/A</v>
      </c>
      <c r="C21" s="282"/>
      <c r="D21" s="282"/>
      <c r="E21" s="16" t="e">
        <f>VLOOKUP(A21, Classification!A1:C71, 3,FALSE)</f>
        <v>#N/A</v>
      </c>
      <c r="F21" s="30"/>
      <c r="G21" s="22"/>
      <c r="H21" s="22"/>
      <c r="I21" s="113"/>
      <c r="J21" s="113"/>
      <c r="K21" s="113"/>
      <c r="L21" s="546"/>
      <c r="M21" s="101" t="s">
        <v>158</v>
      </c>
      <c r="N21" s="102"/>
      <c r="O21" s="665"/>
      <c r="P21" s="666"/>
      <c r="Q21" s="666"/>
      <c r="R21" s="666"/>
      <c r="S21" s="666"/>
      <c r="T21" s="666"/>
      <c r="U21" s="667"/>
      <c r="V21" s="219"/>
      <c r="W21" s="219"/>
      <c r="X21" s="219"/>
      <c r="Y21" s="196"/>
    </row>
    <row r="22" spans="1:25" ht="28.15" customHeight="1" thickBot="1">
      <c r="A22" s="314"/>
      <c r="B22" s="237" t="e">
        <f>VLOOKUP(A22, Classification!A1:C71, 2,FALSE)</f>
        <v>#N/A</v>
      </c>
      <c r="C22" s="282"/>
      <c r="D22" s="282"/>
      <c r="E22" s="16" t="e">
        <f>VLOOKUP(A22, Classification!A1:C71, 3,FALSE)</f>
        <v>#N/A</v>
      </c>
      <c r="F22" s="22"/>
      <c r="G22" s="22"/>
      <c r="H22" s="22"/>
      <c r="I22" s="37"/>
      <c r="J22" s="37"/>
      <c r="K22" s="37"/>
      <c r="L22" s="580" t="str">
        <f>IF('1-Questionnaire'!C19="ISO Transition","*Required","*N/A")</f>
        <v>*N/A</v>
      </c>
      <c r="M22" s="672" t="b">
        <f>IF('1-Questionnaire'!C19="ISO Transition","The total audit duration has been increased  in order to allow sufficient time for the BRILLIAN's Lead Auditor to examine the whole of the MS against the 2015 requirements of ISO 9001 and/or ISO 14001 and/or ISO 45001")</f>
        <v>0</v>
      </c>
      <c r="N22" s="673"/>
      <c r="O22" s="673"/>
      <c r="P22" s="673"/>
      <c r="Q22" s="673"/>
      <c r="R22" s="673"/>
      <c r="S22" s="673"/>
      <c r="T22" s="668" t="s">
        <v>525</v>
      </c>
      <c r="U22" s="669"/>
      <c r="V22" s="220"/>
      <c r="W22" s="220"/>
      <c r="X22" s="220"/>
      <c r="Y22" s="197"/>
    </row>
    <row r="23" spans="1:25" ht="28.15" customHeight="1" thickTop="1" thickBot="1">
      <c r="A23" s="314"/>
      <c r="B23" s="237" t="e">
        <f>VLOOKUP(A23, Classification!A1:C71, 2,FALSE)</f>
        <v>#N/A</v>
      </c>
      <c r="C23" s="282"/>
      <c r="D23" s="282"/>
      <c r="E23" s="16" t="e">
        <f>VLOOKUP(A23, Classification!A1:C71, 3,FALSE)</f>
        <v>#N/A</v>
      </c>
      <c r="F23" s="22"/>
      <c r="G23" s="22"/>
      <c r="H23" s="22"/>
      <c r="I23" s="37"/>
      <c r="J23" s="37"/>
      <c r="K23" s="37"/>
      <c r="L23" s="581"/>
      <c r="M23" s="645" t="s">
        <v>160</v>
      </c>
      <c r="N23" s="640" t="s">
        <v>161</v>
      </c>
      <c r="O23" s="642" t="s">
        <v>162</v>
      </c>
      <c r="P23" s="642" t="s">
        <v>163</v>
      </c>
      <c r="Q23" s="642" t="s">
        <v>164</v>
      </c>
      <c r="R23" s="642" t="s">
        <v>165</v>
      </c>
      <c r="S23" s="642" t="s">
        <v>166</v>
      </c>
      <c r="T23" s="647" t="s">
        <v>167</v>
      </c>
      <c r="U23" s="629" t="s">
        <v>168</v>
      </c>
      <c r="V23" s="629" t="s">
        <v>169</v>
      </c>
      <c r="W23" s="629" t="s">
        <v>170</v>
      </c>
      <c r="X23" s="629" t="s">
        <v>171</v>
      </c>
    </row>
    <row r="24" spans="1:25" ht="14.25" customHeight="1" thickTop="1" thickBot="1">
      <c r="A24" s="261">
        <f>COUNTA(Codes)</f>
        <v>1</v>
      </c>
      <c r="L24" s="649" t="s">
        <v>172</v>
      </c>
      <c r="M24" s="646"/>
      <c r="N24" s="641"/>
      <c r="O24" s="643"/>
      <c r="P24" s="643"/>
      <c r="Q24" s="644"/>
      <c r="R24" s="644"/>
      <c r="S24" s="644"/>
      <c r="T24" s="648"/>
      <c r="U24" s="630"/>
      <c r="V24" s="630"/>
      <c r="W24" s="630"/>
      <c r="X24" s="630"/>
    </row>
    <row r="25" spans="1:25" ht="14.25" customHeight="1" thickTop="1">
      <c r="A25" s="608" t="s">
        <v>173</v>
      </c>
      <c r="B25" s="609"/>
      <c r="C25" s="609"/>
      <c r="D25" s="609"/>
      <c r="E25" s="609"/>
      <c r="F25" s="609"/>
      <c r="G25" s="609"/>
      <c r="H25" s="609"/>
      <c r="I25" s="609"/>
      <c r="J25" s="609"/>
      <c r="K25" s="610"/>
      <c r="L25" s="650"/>
      <c r="M25" s="646"/>
      <c r="N25" s="135" t="e">
        <f>INDEX('Audit Form'!F14:L20, MATCH('2-Calc. Sheet'!O6,'Audit Form'!F14:F20,0),MATCH('2-Calc. Sheet'!O7,'Audit Form'!F14:L14,0))</f>
        <v>#N/A</v>
      </c>
      <c r="O25" s="136">
        <f>IF(ISBLANK(P8),"0","3.5%")+IF(ISBLANK(R8),"0","1%")+IF(ISBLANK(T8),"0","1%")</f>
        <v>0</v>
      </c>
      <c r="P25" s="137" t="str">
        <f>IF(L14="*N/A","0",IF(A24&lt;=1,(O14-1)*(VLOOKUP(A20,Sheet2!N2:R20,3,FALSE))+IF(U15="Yes",0.25,0),(O14-1)*0.5+IF(U15="Yes",0.25,0)))</f>
        <v>0</v>
      </c>
      <c r="Q25" s="138">
        <f>IF(Q18&gt;'Audit Form'!B28,Q18*0.06,"0")+IF(S18&gt;'Audit Form'!B29,(S18-'Audit Form'!B29)*0.06,"0")</f>
        <v>0</v>
      </c>
      <c r="R25" s="135">
        <f>VLOOKUP(O20, 'Audit Form'!A7:B10, 2,FALSE)</f>
        <v>0</v>
      </c>
      <c r="S25" s="223">
        <v>0</v>
      </c>
      <c r="T25" s="224" t="s">
        <v>1071</v>
      </c>
      <c r="U25" s="225"/>
      <c r="V25" s="225"/>
      <c r="W25" s="225"/>
      <c r="X25" s="305" t="str">
        <f>IF(L32="N/A","",(IF((IF('1-Questionnaire'!C24&lt;=20,1,IF('1-Questionnaire'!C24&lt;=200,1.2,IF('1-Questionnaire'!C24&lt;=2000,1.4,IF('1-Questionnaire'!C24&gt;2000,1.6))))*25%)+(IF(OR('1-Questionnaire'!C22=1,'1-Questionnaire'!C22=2),1,IF('1-Questionnaire'!C22=3,1.2,IF('1-Questionnaire'!C22&gt;=4,1.4)))*25%)+(IF('1-Questionnaire'!C23&lt;=3,1,IF('1-Questionnaire'!C23&lt;=6,1.2,IF('1-Questionnaire'!C23&lt;=10,1.3,IF('1-Questionnaire'!C23&lt;=15,1.4,IF('1-Questionnaire'!C23&gt;=16,1.6)))))*50%)&lt;1.15,"Low",(IF((IF('1-Questionnaire'!C24&lt;=20,1,IF('1-Questionnaire'!C24&lt;=200,1.2,IF('1-Questionnaire'!C24&lt;=2000,1.4,IF('1-Questionnaire'!C24&gt;2000,1.6))))*25%)+(IF(OR('1-Questionnaire'!C22=1,'1-Questionnaire'!C22=2),1,IF('1-Questionnaire'!C22=3,1.2,IF('1-Questionnaire'!C22&gt;=4,1.4)))*25%)+(IF('1-Questionnaire'!C23&lt;=3,1,IF('1-Questionnaire'!C23&lt;=6,1.2,IF('1-Questionnaire'!C23&lt;=10,1.3,IF('1-Questionnaire'!C23&lt;=15,1.4,IF('1-Questionnaire'!C23&gt;=16,1.6)))))*50%)&lt;=1.35,"Medium",(IF((IF('1-Questionnaire'!C24&lt;=20,1,IF('1-Questionnaire'!C24&lt;=200,1.2,IF('1-Questionnaire'!C24&lt;=2000,1.4,IF('1-Questionnaire'!C24&gt;2000,1.6))))*25%)+(IF(OR('1-Questionnaire'!C22=1,'1-Questionnaire'!C22=2),1,IF('1-Questionnaire'!C22=3,1.2,IF('1-Questionnaire'!C22&gt;=4,1.4)))*25%)+(IF('1-Questionnaire'!C23&lt;=3,1,IF('1-Questionnaire'!C23&lt;=6,1.2,IF('1-Questionnaire'!C23&lt;=10,1.3,IF('1-Questionnaire'!C23&lt;=15,1.4,IF('1-Questionnaire'!C23&gt;=16,1.6)))))*50%)&gt;1.35,"High")))))))</f>
        <v/>
      </c>
    </row>
    <row r="26" spans="1:25" ht="14.25" customHeight="1" thickBot="1">
      <c r="A26" s="13"/>
      <c r="L26" s="650"/>
      <c r="M26" s="646"/>
      <c r="N26" s="8" t="s">
        <v>174</v>
      </c>
      <c r="O26" s="8" t="s">
        <v>175</v>
      </c>
      <c r="P26" s="8" t="s">
        <v>176</v>
      </c>
      <c r="Q26" s="8" t="s">
        <v>177</v>
      </c>
      <c r="R26" s="8" t="s">
        <v>178</v>
      </c>
      <c r="S26" s="222" t="s">
        <v>179</v>
      </c>
      <c r="T26" s="635" t="s">
        <v>180</v>
      </c>
      <c r="U26" s="636"/>
      <c r="V26" s="636"/>
      <c r="W26" s="636"/>
      <c r="X26" s="637"/>
      <c r="Y26" s="125" t="s">
        <v>181</v>
      </c>
    </row>
    <row r="27" spans="1:25" ht="27.75" customHeight="1">
      <c r="A27" s="14" t="s">
        <v>111</v>
      </c>
      <c r="B27" s="572" t="s">
        <v>182</v>
      </c>
      <c r="C27" s="572"/>
      <c r="D27" s="638" t="s">
        <v>183</v>
      </c>
      <c r="E27" s="638"/>
      <c r="F27" s="44" t="s">
        <v>147</v>
      </c>
      <c r="G27" s="44" t="s">
        <v>148</v>
      </c>
      <c r="H27" s="44" t="s">
        <v>149</v>
      </c>
      <c r="I27" s="44" t="s">
        <v>150</v>
      </c>
      <c r="J27" s="44" t="s">
        <v>151</v>
      </c>
      <c r="K27" s="44" t="s">
        <v>152</v>
      </c>
      <c r="L27" s="129" t="str">
        <f>IF(OR(G9=1,G9=2,G9=8,G9=9,G9=10,G9=11,G9=12,G9=13,G9=14,G9=15,G9=16,G9=17,G9=22,G9=23,G9=24,G9=25,G9=26,G9=27,G9=28,G9=29,G9=30,G9=31,G9=32,G9=33,G9=34,G9=35,G9=36,G9=37,G9=47,G9=48,G9=49,G9=50,G9=51,G9=52,G9=54,G9=55,G9=56,G9=57),"QMS","N/A")</f>
        <v>QMS</v>
      </c>
      <c r="M27" s="130" t="str">
        <f>IF(OR(G9=10,G9=12,G9=13,G9=16,G9=22,G9=23,G9=26,G9=27,G9=30,G9=31,G9=34,G9=35),"2008",IF(OR(G9=1,G9=8,G9=2,G9=9,G9=11,G9=14,G9=15,G9=17,G9=24,G9=25,G9=28,G9=29,G9=32,G9=33,G9=36,G9=37,G9=47,G9=48,G9=49,G9=50,G9=51,G9=52,G9=54,G9=55,G9=56,G9=57),"2015","N/A"))</f>
        <v>2015</v>
      </c>
      <c r="N27" s="232" t="e">
        <f>IF(L27="N/A","0",VLOOKUP(I15,Sheet2!A1:L33,2,FALSE)-(IF(O25="0%","0",O25*(VLOOKUP(I15,Sheet2!A1:L33,2,FALSE))/100))+IF('2-Calc. Sheet'!T25="High",VLOOKUP('2-Calc. Sheet'!I15,Sheet2!A1:L33,8,FALSE),"0")+IF('2-Calc. Sheet'!T25="Moderate",VLOOKUP('2-Calc. Sheet'!I15,Sheet2!A1:L33,7,FALSE),"0")+IF('2-Calc. Sheet'!T25="Low",VLOOKUP('2-Calc. Sheet'!I15,Sheet2!A1:L33,6,FALSE),"0")+IF('2-Calc. Sheet'!T25="Limited",VLOOKUP('2-Calc. Sheet'!I15,Sheet2!A1:L33,6,FALSE),"0"))/5</f>
        <v>#N/A</v>
      </c>
      <c r="O27" s="233" t="e">
        <f>IF(L27="N/A","0",VLOOKUP(I15,Sheet2!A1:L33,2,FALSE)-(IF(O25="0%","0",(VLOOKUP(I15,Sheet2!A1:L33,2,FALSE))/100))+IF('2-Calc. Sheet'!T25="High",VLOOKUP('2-Calc. Sheet'!I15,Sheet2!A1:L33,8,FALSE),"0")+IF('2-Calc. Sheet'!T25="Moderate",VLOOKUP('2-Calc. Sheet'!I15,Sheet2!A1:L33,7,FALSE),"0")+IF('2-Calc. Sheet'!T25="Low",VLOOKUP('2-Calc. Sheet'!I15,Sheet2!A1:L33,6,FALSE),"0")+IF('2-Calc. Sheet'!T25="Limited",VLOOKUP('2-Calc. Sheet'!I15,Sheet2!A1:L33,6,FALSE),"0"))-N27</f>
        <v>#N/A</v>
      </c>
      <c r="P27" s="233" t="e">
        <f t="shared" ref="P27:P31" si="0">IF(L27="N/A","0",SUM(N27+O27)*(1/3)+(S27*0.33))</f>
        <v>#N/A</v>
      </c>
      <c r="Q27" s="233" t="e">
        <f t="shared" ref="Q27:Q31" si="1">IF(L27="N/A","0",SUM(N27+O27)*(1/3)+(S27*0.33))</f>
        <v>#N/A</v>
      </c>
      <c r="R27" s="233" t="e">
        <f t="shared" ref="R27:R31" si="2">IF(L27="N/A","0",SUM(N27+O27)*(2/3)+(S27*0.7))</f>
        <v>#N/A</v>
      </c>
      <c r="S27" s="221"/>
      <c r="T27" s="604" t="s">
        <v>184</v>
      </c>
      <c r="U27" s="605"/>
      <c r="V27" s="605"/>
      <c r="W27" s="605"/>
      <c r="X27" s="606"/>
      <c r="Y27" s="128" t="e">
        <f>0.3*(SUM(N27,O27)-(IF(_xlfn.IFNA(N25,0),N25*(N27+O27)/100)+IF(O25="0%","0",O25*(VLOOKUP(I15,Sheet2!A1:L31,2,FALSE))/100))+IF('2-Calc. Sheet'!T25="High",VLOOKUP('2-Calc. Sheet'!I15,Sheet2!A1:L31,8,FALSE),0)+IF('2-Calc. Sheet'!T25="Moderate",VLOOKUP('2-Calc. Sheet'!I15,Sheet2!A1:L31,7,FALSE),0)+IF('2-Calc. Sheet'!T25="Law",VLOOKUP('2-Calc. Sheet'!I15,Sheet2!A1:L31,6,FALSE),0))</f>
        <v>#N/A</v>
      </c>
    </row>
    <row r="28" spans="1:25" ht="30.75" customHeight="1">
      <c r="A28" s="195"/>
      <c r="B28" s="573" t="e">
        <f>VLOOKUP(A28,Auditors!A2:H25,2,FALSE)</f>
        <v>#N/A</v>
      </c>
      <c r="C28" s="574"/>
      <c r="D28" s="639" t="s">
        <v>186</v>
      </c>
      <c r="E28" s="601"/>
      <c r="F28" s="104" t="e">
        <f>VLOOKUP(A28,Auditors!A2:G17,4,FALSE)</f>
        <v>#N/A</v>
      </c>
      <c r="G28" s="104" t="e">
        <f>VLOOKUP(A28,Auditors!A2:G17,5,FALSE)</f>
        <v>#N/A</v>
      </c>
      <c r="H28" s="104" t="e">
        <f>VLOOKUP(A28,Auditors!A2:G17,6,FALSE)</f>
        <v>#N/A</v>
      </c>
      <c r="I28" s="105" t="e">
        <f>VLOOKUP(A28,Auditors!A2:G17,7,FALSE)</f>
        <v>#N/A</v>
      </c>
      <c r="J28" s="105" t="e">
        <f>VLOOKUP(A28,Auditors!A2:J17,9,FALSE)</f>
        <v>#N/A</v>
      </c>
      <c r="K28" s="105" t="e">
        <f>VLOOKUP(A28,Auditors!A2:J17,10,FALSE)</f>
        <v>#N/A</v>
      </c>
      <c r="L28" s="131" t="str">
        <f>IF(OR(G9=3,G9=4,G9=10,G9=11,G9=18,G9=19,G9=20,G9=21,G9=22,G9=23,G9=24,G9=25,G9=26,G9=27,G9=28,G9=29,G9=30,G9=31,G9=32,G9=33,G9=34,G9=35,G9=36,G9=37,G9=40,G9=41,G9=47,G9=48,G9=49,G9=50,G9=51,G9=52,G9=54,G9=55,G9=56,G9=57),"EMS","N/A")</f>
        <v>N/A</v>
      </c>
      <c r="M28" s="132" t="str">
        <f>IF(OR(G9=3,G9=8,G9=9,G9=18,G9=19,G9=22,G9=23,G9=24,G9=25,G9=30,G9=31,G9=32,G9=33),"2004",IF(OR(G9=4,G9=10,G9=11,G9=20,G9=21,G9=26,G9=27,G9=28,G9=29,G9=34,G9=35,G9=36,G9=37,G9=40,G9=41,G9=47,G9=48,G9=49,G9=50,G9=51,G9=52,G9=54,G9=55,G9=56,G9=57),"2015","N/A"))</f>
        <v>N/A</v>
      </c>
      <c r="N28" s="232">
        <f>IF(L28="N/A","0",VLOOKUP(I15,Sheet2!A1:L33,3,FALSE)+IF('2-Calc. Sheet'!U25="High",VLOOKUP('2-Calc. Sheet'!I15,Sheet2!A1:L33,12,FALSE),"0")+IF('2-Calc. Sheet'!U25="Moderate",VLOOKUP('2-Calc. Sheet'!I15,Sheet2!A1:L33,11,FALSE),"0")+IF('2-Calc. Sheet'!U25="Low",VLOOKUP('2-Calc. Sheet'!I15,Sheet2!A1:L33,10,FALSE),"0")+IF('2-Calc. Sheet'!U25="Limited",VLOOKUP('2-Calc. Sheet'!I15,Sheet2!A1:L33,9,FALSE),"0"))/5</f>
        <v>0</v>
      </c>
      <c r="O28" s="233">
        <f>IF(L28="N/A","0",VLOOKUP(I15,Sheet2!A1:L33,3,FALSE)+IF('2-Calc. Sheet'!U25="High",VLOOKUP('2-Calc. Sheet'!I15,Sheet2!A1:L33,12,FALSE),"0")+IF('2-Calc. Sheet'!U25="Moderate",VLOOKUP('2-Calc. Sheet'!I15,Sheet2!A1:L33,11,FALSE),"0")+IF('2-Calc. Sheet'!U25="Low",VLOOKUP('2-Calc. Sheet'!I15,Sheet2!A1:L33,10,FALSE),"0")+IF('2-Calc. Sheet'!U25="Limited",VLOOKUP('2-Calc. Sheet'!I15,Sheet2!A1:L33,9,FALSE),"0"))-N28</f>
        <v>0</v>
      </c>
      <c r="P28" s="233" t="str">
        <f t="shared" si="0"/>
        <v>0</v>
      </c>
      <c r="Q28" s="233" t="str">
        <f t="shared" si="1"/>
        <v>0</v>
      </c>
      <c r="R28" s="233" t="str">
        <f t="shared" si="2"/>
        <v>0</v>
      </c>
      <c r="S28" s="221"/>
      <c r="T28" s="604" t="s">
        <v>184</v>
      </c>
      <c r="U28" s="605"/>
      <c r="V28" s="605"/>
      <c r="W28" s="605"/>
      <c r="X28" s="606"/>
      <c r="Y28" s="128">
        <f>0.3*(SUM(N28,O28)-(IF(_xlfn.IFNA(N25,0),N25*(N28+O28)/100)+IF('2-Calc. Sheet'!U25="High",VLOOKUP('2-Calc. Sheet'!I15,Sheet2!A1:L33,12,FALSE),"0")+IF('2-Calc. Sheet'!U25="Moderate",VLOOKUP('2-Calc. Sheet'!I15,Sheet2!A1:L33,11,FALSE),"0")+IF('2-Calc. Sheet'!U25="Law",VLOOKUP('2-Calc. Sheet'!I15,Sheet2!A1:L33,10,FALSE),0)))</f>
        <v>0</v>
      </c>
    </row>
    <row r="29" spans="1:25" ht="28.5" customHeight="1">
      <c r="A29" s="23"/>
      <c r="B29" s="573" t="e">
        <f>VLOOKUP(A29,Auditors!A2:H25,2,FALSE)</f>
        <v>#N/A</v>
      </c>
      <c r="C29" s="574"/>
      <c r="D29" s="600"/>
      <c r="E29" s="601"/>
      <c r="F29" s="104" t="e">
        <f>VLOOKUP(A29,Auditors!A2:G25,4,FALSE)</f>
        <v>#N/A</v>
      </c>
      <c r="G29" s="104" t="e">
        <f>VLOOKUP(A29,Auditors!A2:G25,5,FALSE)</f>
        <v>#N/A</v>
      </c>
      <c r="H29" s="104" t="e">
        <f>VLOOKUP(A29,Auditors!A2:G25,6,FALSE)</f>
        <v>#N/A</v>
      </c>
      <c r="I29" s="105" t="e">
        <f>VLOOKUP(A29,Auditors!A2:G25,7,FALSE)</f>
        <v>#N/A</v>
      </c>
      <c r="J29" s="105" t="e">
        <f>VLOOKUP(A29,Auditors!A2:J25,9,FALSE)</f>
        <v>#N/A</v>
      </c>
      <c r="K29" s="105" t="e">
        <f>VLOOKUP(A29,Auditors!A2:J25,10,FALSE)</f>
        <v>#N/A</v>
      </c>
      <c r="L29" s="131" t="str">
        <f>IF(OR(G9=6,G9=12,G9=14,G9=18,G9=20,G9=22,G9=24,G9=26,G9=28,G9=30,G9=32,G9=34,G9=36,G9=42,G9=45,G9=47,G9=49,G9=51,G9=54,G9=56),"OHSAS",IF(OR(G9=7,G9=13,G9=15,G9=19,G9=21,G9=23,G9=25,G9=27,G9=29,G9=31,G9=33,G9=35,G9=37,G9=43,G9=44,G9=48,G9=50,G9=52,G9=55,G9=57),"OHSMS","N/A"))</f>
        <v>N/A</v>
      </c>
      <c r="M29" s="132" t="str">
        <f>IF(L29="OHSAS","2007",IF(L29="OHSMS","2018","N/A"))</f>
        <v>N/A</v>
      </c>
      <c r="N29" s="232">
        <f>IF(L29="N/A","0",VLOOKUP(I15,Sheet2!A1:L33,3,FALSE)+IF('2-Calc. Sheet'!V25="High",VLOOKUP('2-Calc. Sheet'!I15,Sheet2!A1:L33,12,FALSE),"0")+IF('2-Calc. Sheet'!V25="Moderate",VLOOKUP('2-Calc. Sheet'!I15,Sheet2!A1:L33,11,FALSE),"0")+IF('2-Calc. Sheet'!V25="Low",VLOOKUP('2-Calc. Sheet'!I15,Sheet2!A1:L33,10,FALSE),"0")+IF('2-Calc. Sheet'!V25="Limited",VLOOKUP('2-Calc. Sheet'!I15,Sheet2!A1:L33,9,FALSE),"0"))/5</f>
        <v>0</v>
      </c>
      <c r="O29" s="233">
        <f>IF(L29="N/A","0",VLOOKUP(I15,Sheet2!A1:L33,3,FALSE)+IF('2-Calc. Sheet'!V25="High",VLOOKUP('2-Calc. Sheet'!I15,Sheet2!A1:L33,12,FALSE),"0")+IF('2-Calc. Sheet'!V25="Moderate",VLOOKUP('2-Calc. Sheet'!I15,Sheet2!A1:L33,11,FALSE),"0")+IF('2-Calc. Sheet'!V25="Low",VLOOKUP('2-Calc. Sheet'!I15,Sheet2!A1:L33,10,FALSE),"0")+IF('2-Calc. Sheet'!V25="Limited",VLOOKUP('2-Calc. Sheet'!I15,Sheet2!A1:L33,9,FALSE),"0"))-N29</f>
        <v>0</v>
      </c>
      <c r="P29" s="233" t="str">
        <f t="shared" si="0"/>
        <v>0</v>
      </c>
      <c r="Q29" s="233" t="str">
        <f t="shared" si="1"/>
        <v>0</v>
      </c>
      <c r="R29" s="233" t="str">
        <f t="shared" si="2"/>
        <v>0</v>
      </c>
      <c r="S29" s="221"/>
      <c r="T29" s="604" t="s">
        <v>184</v>
      </c>
      <c r="U29" s="605"/>
      <c r="V29" s="605"/>
      <c r="W29" s="605"/>
      <c r="X29" s="606"/>
      <c r="Y29" s="128">
        <f>0.3*(SUM(N29,O29)-(IF(_xlfn.IFNA(N25,0),N25*(N28+O28)/100)+IF('2-Calc. Sheet'!V25="High",VLOOKUP('2-Calc. Sheet'!I15,Sheet2!A1:L33,12,FALSE),0)+IF('2-Calc. Sheet'!V25="Moderate",VLOOKUP('2-Calc. Sheet'!I15,Sheet2!A1:L33,11,FALSE),0)+IF('2-Calc. Sheet'!V25="Law",VLOOKUP('2-Calc. Sheet'!I15,Sheet2!A1:L33,10,FALSE),0)))</f>
        <v>0</v>
      </c>
    </row>
    <row r="30" spans="1:25" ht="28.5" customHeight="1" thickBot="1">
      <c r="A30" s="23"/>
      <c r="B30" s="573" t="e">
        <f>VLOOKUP(A30,Auditors!A2:H25,2,FALSE)</f>
        <v>#N/A</v>
      </c>
      <c r="C30" s="574"/>
      <c r="D30" s="600"/>
      <c r="E30" s="601"/>
      <c r="F30" s="104" t="e">
        <f>VLOOKUP(A30,Auditors!A2:G25,4,FALSE)</f>
        <v>#N/A</v>
      </c>
      <c r="G30" s="104" t="e">
        <f>VLOOKUP(A30,Auditors!A2:G25,5,FALSE)</f>
        <v>#N/A</v>
      </c>
      <c r="H30" s="104" t="e">
        <f>VLOOKUP(A30,Auditors!A2:G25,6,FALSE)</f>
        <v>#N/A</v>
      </c>
      <c r="I30" s="105" t="e">
        <f>VLOOKUP(A30,Auditors!A2:G25,7,FALSE)</f>
        <v>#N/A</v>
      </c>
      <c r="J30" s="105" t="e">
        <f>VLOOKUP(A30,Auditors!A2:J25,9,FALSE)</f>
        <v>#N/A</v>
      </c>
      <c r="K30" s="105" t="e">
        <f>VLOOKUP(A30,Auditors!A2:J25,10,FALSE)</f>
        <v>#N/A</v>
      </c>
      <c r="L30" s="133" t="str">
        <f>IF(OR(G9=5,G9=16,G9=17,G9=30,G9=31,G9=32,G9=33,G9=34,G9=35,G9=36,G9=37,G9=51,G9=52,G9=54,G9=55,G9=56,G9=57),"FSMS","N/A")</f>
        <v>N/A</v>
      </c>
      <c r="M30" s="134" t="str">
        <f>IF(L30="N/A","N/A","2018")</f>
        <v>N/A</v>
      </c>
      <c r="N30" s="232">
        <f>IF(L30="N/A","0",SUM(VLOOKUP(A20,Sheet2!N2:R20,5,FALSE),VLOOKUP(O16,Sheet2!U3:V5,2,FALSE),VLOOKUP('2-Calc. Sheet'!I15,Table3[#All],3,FALSE),'2-Calc. Sheet'!P25))/5</f>
        <v>0</v>
      </c>
      <c r="O30" s="233">
        <f>IF(L30="N/A","0",SUM(VLOOKUP(A20,Sheet2!N2:R20,5,FALSE),VLOOKUP(O16,Sheet2!U3:V5,2,FALSE),VLOOKUP('2-Calc. Sheet'!I15,Table3[#All],3,FALSE),'2-Calc. Sheet'!P25))-N30</f>
        <v>0</v>
      </c>
      <c r="P30" s="233" t="str">
        <f t="shared" si="0"/>
        <v>0</v>
      </c>
      <c r="Q30" s="233" t="str">
        <f t="shared" si="1"/>
        <v>0</v>
      </c>
      <c r="R30" s="233" t="str">
        <f t="shared" si="2"/>
        <v>0</v>
      </c>
      <c r="S30" s="221"/>
      <c r="T30" s="604" t="s">
        <v>184</v>
      </c>
      <c r="U30" s="605"/>
      <c r="V30" s="605"/>
      <c r="W30" s="605"/>
      <c r="X30" s="606"/>
    </row>
    <row r="31" spans="1:25" ht="28.5" customHeight="1" thickBot="1">
      <c r="A31" s="23"/>
      <c r="B31" s="573" t="e">
        <f>VLOOKUP(A31,Auditors!A2:H25,2,FALSE)</f>
        <v>#N/A</v>
      </c>
      <c r="C31" s="574"/>
      <c r="D31" s="602"/>
      <c r="E31" s="603"/>
      <c r="F31" s="106" t="e">
        <f>VLOOKUP(A31,Auditors!A2:G25,4,FALSE)</f>
        <v>#N/A</v>
      </c>
      <c r="G31" s="106" t="e">
        <f>VLOOKUP(A31,Auditors!A2:G25,5,FALSE)</f>
        <v>#N/A</v>
      </c>
      <c r="H31" s="106" t="e">
        <f>VLOOKUP(A31,Auditors!A2:G25,6,FALSE)</f>
        <v>#N/A</v>
      </c>
      <c r="I31" s="107" t="e">
        <f>VLOOKUP(A31,Auditors!A2:G25,7,FALSE)</f>
        <v>#N/A</v>
      </c>
      <c r="J31" s="105" t="e">
        <f>VLOOKUP(A31,Auditors!A2:J25,9,FALSE)</f>
        <v>#N/A</v>
      </c>
      <c r="K31" s="105" t="e">
        <f>VLOOKUP(A31,Auditors!A2:J25,10,FALSE)</f>
        <v>#N/A</v>
      </c>
      <c r="L31" s="133" t="str">
        <f>IF(OR(G9=38,G9=40,G9=42,G9=44,G9=46,G9=47,G9=48,G9=51,G9=52,G9=56,G9=57),"MDMS","N/A")</f>
        <v>N/A</v>
      </c>
      <c r="M31" s="134" t="str">
        <f>IF(L31="N/A","N/A","2016")</f>
        <v>N/A</v>
      </c>
      <c r="N31" s="232">
        <f>IF(L31="N/A","0",VLOOKUP(I15,Sheet2!A1:L33,4,FALSE)+IF('2-Calc. Sheet'!W25="High",VLOOKUP('2-Calc. Sheet'!I15,Sheet2!A1:L33,4,FALSE)*0.1,"0")+IF('2-Calc. Sheet'!W25="Moderate",0,"0")-IF('2-Calc. Sheet'!W25="Low",VLOOKUP('2-Calc. Sheet'!I15,Sheet2!A1:L33,4,FALSE)*0.1,"0")-IF('2-Calc. Sheet'!W25="Limited",VLOOKUP('2-Calc. Sheet'!I15,Sheet2!A1:L33,4,FALSE)*0.1,"0"))/5</f>
        <v>0</v>
      </c>
      <c r="O31" s="233">
        <f>IF(L31="N/A","0",VLOOKUP(I15,Sheet2!A1:L33,4,FALSE)+IF('2-Calc. Sheet'!W25="High",VLOOKUP('2-Calc. Sheet'!I15,Sheet2!A1:L33,4,FALSE)*0.1,"0")+IF('2-Calc. Sheet'!W25="Moderate",0,"0")-IF('2-Calc. Sheet'!W25="Low",VLOOKUP('2-Calc. Sheet'!I15,Sheet2!A1:L33,4,FALSE)*0.1,"0")-IF('2-Calc. Sheet'!W25="Limited",VLOOKUP('2-Calc. Sheet'!I15,Sheet2!A1:L33,4,FALSE)*0.1,"0"))-N31</f>
        <v>0</v>
      </c>
      <c r="P31" s="233" t="str">
        <f t="shared" si="0"/>
        <v>0</v>
      </c>
      <c r="Q31" s="233" t="str">
        <f t="shared" si="1"/>
        <v>0</v>
      </c>
      <c r="R31" s="233" t="str">
        <f t="shared" si="2"/>
        <v>0</v>
      </c>
      <c r="S31" s="221"/>
      <c r="T31" s="604" t="s">
        <v>184</v>
      </c>
      <c r="U31" s="605"/>
      <c r="V31" s="605"/>
      <c r="W31" s="605"/>
      <c r="X31" s="606"/>
    </row>
    <row r="32" spans="1:25" ht="29.25" customHeight="1" thickBot="1">
      <c r="L32" s="133" t="str">
        <f>IF(OR(G9=39,G9=8,G9=41,G9=43,G9=45,G9=46,G9=49,G9=50,G9=54,G9=55,G9=56,G9=57),"EnMS","N/A")</f>
        <v>N/A</v>
      </c>
      <c r="M32" s="134" t="str">
        <f>IF(L32="N/A","N/A","2018")</f>
        <v>N/A</v>
      </c>
      <c r="N32" s="232">
        <f>(IF('2-Calc. Sheet'!X25="High",VLOOKUP('2-Calc. Sheet'!K15,Sheet2!E2:AI13,31,FALSE),"0")+(IF('2-Calc. Sheet'!X25="Medium",VLOOKUP('2-Calc. Sheet'!K15,Sheet2!E2:AI13,30,FALSE),"0")+(IF('2-Calc. Sheet'!X25="Low",VLOOKUP('2-Calc. Sheet'!K15,Sheet2!E2:AI13,29,FALSE),"0"))))/5</f>
        <v>0</v>
      </c>
      <c r="O32" s="233">
        <f>(IF('2-Calc. Sheet'!X25="High",VLOOKUP('2-Calc. Sheet'!K15,Sheet2!E2:AI13,31,FALSE),"0")+(IF('2-Calc. Sheet'!X25="Medium",VLOOKUP('2-Calc. Sheet'!K15,Sheet2!E2:AI13,30,FALSE),"0")+(IF('2-Calc. Sheet'!X25="Low",VLOOKUP('2-Calc. Sheet'!K15,Sheet2!E2:AI13,29,FALSE),"0"))))-N32</f>
        <v>0</v>
      </c>
      <c r="P32" s="233">
        <f>IF(L32="N/A","0",IF('2-Calc. Sheet'!X25="High",VLOOKUP('2-Calc. Sheet'!K15,Sheet2!E1:AO13,36,FALSE),"0"))+(IF('2-Calc. Sheet'!X25="Medium",VLOOKUP('2-Calc. Sheet'!K15,Sheet2!E1:AO13,34,FALSE),"0"))+(IF('2-Calc. Sheet'!X25="Low",VLOOKUP('2-Calc. Sheet'!K15,Sheet2!E1:AO13,32,FALSE),"0"))</f>
        <v>0</v>
      </c>
      <c r="Q32" s="233">
        <f>IF(L32="N/A","0",IF('2-Calc. Sheet'!X25="High",VLOOKUP('2-Calc. Sheet'!K15,Sheet2!E1:AO13,36,FALSE),"0"))+(IF('2-Calc. Sheet'!X25="Medium",VLOOKUP('2-Calc. Sheet'!K15,Sheet2!E1:AO13,34,FALSE),"0"))+(IF('2-Calc. Sheet'!X25="Low",VLOOKUP('2-Calc. Sheet'!K15,Sheet2!E1:AO13,32,FALSE),"0"))</f>
        <v>0</v>
      </c>
      <c r="R32" s="233">
        <f>IF(L32="N/A","0",IF('2-Calc. Sheet'!X25="High",VLOOKUP('2-Calc. Sheet'!K15,Sheet2!E1:AO13,37,FALSE),"0"))+(IF('2-Calc. Sheet'!X25="Medium",VLOOKUP('2-Calc. Sheet'!K15,Sheet2!E1:AO13,35,FALSE),"0"))+(IF('2-Calc. Sheet'!X25="Low",VLOOKUP('2-Calc. Sheet'!K15,Sheet2!E1:AO13,33,FALSE),"0"))</f>
        <v>0</v>
      </c>
      <c r="S32" s="221"/>
      <c r="T32" s="604" t="s">
        <v>184</v>
      </c>
      <c r="U32" s="605"/>
      <c r="V32" s="605"/>
      <c r="W32" s="605"/>
      <c r="X32" s="606"/>
    </row>
    <row r="33" spans="8:24" ht="27.75" customHeight="1" thickTop="1" thickBot="1">
      <c r="L33" s="567" t="s">
        <v>187</v>
      </c>
      <c r="M33" s="568"/>
      <c r="N33" s="139" t="e">
        <f>SUM(N27:N32)-(IF(ISNA(N25),"0",(N25*(SUM(N27:N32))/100)))</f>
        <v>#N/A</v>
      </c>
      <c r="O33" s="139" t="e">
        <f>SUM(O27:O32)-(IF(ISNA(N25),"0",(N25*(SUM(O27:O32)/100))))+(Q25+R25+S25+S27+S28+S29+S30+S31+S32)</f>
        <v>#N/A</v>
      </c>
      <c r="P33" s="139" t="e">
        <f>SUM(P27:P32)+(Q25+R25+S25)</f>
        <v>#N/A</v>
      </c>
      <c r="Q33" s="139" t="e">
        <f>SUM(Q27:Q32)+(Q25+R25+S25)</f>
        <v>#N/A</v>
      </c>
      <c r="R33" s="139" t="e">
        <f>SUM(R27:R32)+(Q25+R25+S25)</f>
        <v>#N/A</v>
      </c>
      <c r="S33" s="83"/>
      <c r="T33" s="607" t="s">
        <v>188</v>
      </c>
      <c r="U33" s="607"/>
      <c r="V33" s="607"/>
      <c r="W33" s="607"/>
      <c r="X33" s="607"/>
    </row>
    <row r="34" spans="8:24" ht="16.5" thickTop="1" thickBot="1">
      <c r="J34" s="582" t="s">
        <v>189</v>
      </c>
      <c r="K34" s="582"/>
      <c r="L34" s="177"/>
      <c r="M34" s="179" t="str">
        <f>IF(OR('5-ATJIF-02'!G18=1,'5-ATJIF-02'!G18=2,'5-ATJIF-02'!G18=7,'5-ATJIF-02'!G18=8,'5-ATJIF-02'!G18=9,'5-ATJIF-02'!G18=8,'5-ATJIF-02'!G18=10,'5-ATJIF-02'!G18=11,'5-ATJIF-02'!G18=12,'5-ATJIF-02'!G18=13,'5-ATJIF-02'!G18=14,'5-ATJIF-02'!G18=17,'5-ATJIF-02'!G18=18,'5-ATJIF-02'!G18=19,'5-ATJIF-02'!G18=20,'5-ATJIF-02'!G18=21,'5-ATJIF-02'!G18=22,'5-ATJIF-02'!G18=23,'5-ATJIF-02'!G18=24,'5-ATJIF-02'!G18=25,'5-ATJIF-02'!G18=26,'5-ATJIF-02'!G18=27,'5-ATJIF-02'!G18=28,'5-ATJIF-02'!G18=29,'5-ATJIF-02'!G18=30,'5-ATJIF-02'!G18=31,'5-ATJIF-02'!G18=32,'5-ATJIF-02'!G18=33,'5-ATJIF-02'!G18=34,'5-ATJIF-02'!G18=35,'5-ATJIF-02'!G18=36,'5-ATJIF-02'!G18=37,'5-ATJIF-02'!G18=47,'5-ATJIF-02'!G18=48,'5-ATJIF-02'!G18=49,'5-ATJIF-02'!G18=50,'5-ATJIF-02'!G18=51,'5-ATJIF-02'!G18=52,'5-ATJIF-02'!G18=54,'5-ATJIF-02'!G18=55,'5-ATJIF-02'!G18=56,'5-ATJIF-02'!G18=57),"QMS","N/A")</f>
        <v>QMS</v>
      </c>
      <c r="N34" s="179" t="str">
        <f>IF(OR('5-ATJIF-02'!G18=3,'5-ATJIF-02'!G18=4,'5-ATJIF-02'!G18=7,'5-ATJIF-02'!G18=8,'5-ATJIF-02'!G18=9,'5-ATJIF-02'!G18=10,'5-ATJIF-02'!G18=15,'5-ATJIF-02'!G18=16,'5-ATJIF-02'!G18=17,'5-ATJIF-02'!G18=18,'5-ATJIF-02'!G18=19,'5-ATJIF-02'!G18=20,'5-ATJIF-02'!G18=21,'5-ATJIF-02'!G18=22,'5-ATJIF-02'!G18=23,'5-ATJIF-02'!G18=24,'5-ATJIF-02'!G18=25,'5-ATJIF-02'!G18=26,'5-ATJIF-02'!G18=27,'5-ATJIF-02'!G18=28,'5-ATJIF-02'!G18=29,'5-ATJIF-02'!G18=30,'5-ATJIF-02'!G18=31,'5-ATJIF-02'!G18=32,'5-ATJIF-02'!G18=33,'5-ATJIF-02'!G18=34,'5-ATJIF-02'!G18=35,'5-ATJIF-02'!G18=36,'5-ATJIF-02'!G18=37,'5-ATJIF-02'!G18=40,'5-ATJIF-02'!G18=41,'5-ATJIF-02'!G18=47,'5-ATJIF-02'!G18=48,'5-ATJIF-02'!G18=49,'5-ATJIF-02'!G18=50,'5-ATJIF-02'!G18=51,'5-ATJIF-02'!G18=52,'5-ATJIF-02'!G18=54,'5-ATJIF-02'!G18=55,'5-ATJIF-02'!G18=56,'5-ATJIF-02'!G18=57),"EMS","N/A")</f>
        <v>N/A</v>
      </c>
      <c r="O34" s="179" t="str">
        <f>IF(OR('5-ATJIF-02'!G18=6,'5-ATJIF-02'!G18=12,'5-ATJIF-02'!G18=14,'5-ATJIF-02'!G18=18,'5-ATJIF-02'!G18=20,'5-ATJIF-02'!G18=22,'5-ATJIF-02'!G18=24,'5-ATJIF-02'!G18=26,'5-ATJIF-02'!G18=28,'5-ATJIF-02'!G18=30,'5-ATJIF-02'!G18=32,'5-ATJIF-02'!G18=34,'5-ATJIF-02'!G18=36,'5-ATJIF-02'!G18=42,'5-ATJIF-02'!G18=45,'5-ATJIF-02'!G18=47,'5-ATJIF-02'!G18=49,'5-ATJIF-02'!G18=51,'5-ATJIF-02'!G18=54,'5-ATJIF-02'!G18=56),"OHSAS",IF(OR('5-ATJIF-02'!G18=7,'5-ATJIF-02'!G18=13,'5-ATJIF-02'!G18=15,'5-ATJIF-02'!G18=19,'5-ATJIF-02'!G18=21,'5-ATJIF-02'!G18=23,'5-ATJIF-02'!G18=25,'5-ATJIF-02'!G18=27,'5-ATJIF-02'!G18=29,'5-ATJIF-02'!G18=31,'5-ATJIF-02'!G18=33,'5-ATJIF-02'!G18=35,'5-ATJIF-02'!G18=37,'5-ATJIF-02'!G18=43,'5-ATJIF-02'!G18=44,'5-ATJIF-02'!G18=48,'5-ATJIF-02'!G18=50,'5-ATJIF-02'!G18=52,'5-ATJIF-02'!G18=55,'5-ATJIF-02'!G18=57),"OHSMS","N/A"))</f>
        <v>N/A</v>
      </c>
      <c r="P34" s="179" t="str">
        <f>IF(OR('5-ATJIF-02'!G18=5,'5-ATJIF-02'!G18=16,'5-ATJIF-02'!G18=17,'5-ATJIF-02'!G18=30,'5-ATJIF-02'!G18=31,'5-ATJIF-02'!G18=32,'5-ATJIF-02'!G18=33,'5-ATJIF-02'!G18=34,'5-ATJIF-02'!G18=35,'5-ATJIF-02'!G18=36,'5-ATJIF-02'!G18=37,'5-ATJIF-02'!G18=51,'5-ATJIF-02'!G18=52,'5-ATJIF-02'!G18=54,'5-ATJIF-02'!G18=55,'5-ATJIF-02'!G18=56,'5-ATJIF-02'!G18=57),"FSMS","N/A")</f>
        <v>N/A</v>
      </c>
      <c r="Q34" s="179" t="str">
        <f>IF(OR('5-ATJIF-02'!G18=38,'5-ATJIF-02'!G18=40,'5-ATJIF-02'!G18=42,'5-ATJIF-02'!G18=44,'5-ATJIF-02'!G18=46,'5-ATJIF-02'!G18=47,'5-ATJIF-02'!G18=48,'5-ATJIF-02'!G18=51,'5-ATJIF-02'!G18=52,'5-ATJIF-02'!G18=56,'5-ATJIF-02'!G18=57),"MDMS","N/A")</f>
        <v>N/A</v>
      </c>
      <c r="R34" s="179" t="str">
        <f>IF(OR('5-ATJIF-02'!G18=39,'5-ATJIF-02'!G18=8,'5-ATJIF-02'!G18=41,'5-ATJIF-02'!G18=43,'5-ATJIF-02'!G18=45,'5-ATJIF-02'!G18=46,'5-ATJIF-02'!G18=49,'5-ATJIF-02'!G18=50,'5-ATJIF-02'!G18=54,'5-ATJIF-02'!G18=55,'5-ATJIF-02'!G18=56,'5-ATJIF-02'!G18=57),"EnMS","N/A")</f>
        <v>N/A</v>
      </c>
      <c r="S34" s="179" t="s">
        <v>190</v>
      </c>
    </row>
    <row r="35" spans="8:24" ht="25.15" customHeight="1" thickTop="1" thickBot="1">
      <c r="H35" s="236"/>
      <c r="J35" s="583"/>
      <c r="K35" s="583"/>
      <c r="L35" s="194" t="str">
        <f>IF(OR(T22="Surveillance I", T22="Surveillance II"),"CS Adjusted"," ")</f>
        <v>CS Adjusted</v>
      </c>
      <c r="M35" s="303" t="e">
        <f>IF(AND(M27="2015",OR(T22="Surveillance I",T22="Surveillance II")),P27,R27)</f>
        <v>#N/A</v>
      </c>
      <c r="N35" s="180" t="str">
        <f>IF(AND(M28="2015",OR(L35="Surveillance I", L35="Surveillance II",T22="Surveillance I",T22="Surveillance II")),P28,R28)</f>
        <v>0</v>
      </c>
      <c r="O35" s="180" t="str">
        <f>IF(AND(M29="2018",OR(L35="Surveillance I", L35="Surveillance II",T22="Surveillance I",T22="Surveillance II")),P29,R29)</f>
        <v>0</v>
      </c>
      <c r="P35" s="180" t="str">
        <f>IF(AND(M30="2018",OR(L35="Surveillance I", L35="Surveillance II",T22="Surveillance I",T22="Surveillance II")),P30,R30)</f>
        <v>0</v>
      </c>
      <c r="Q35" s="180" t="str">
        <f>IF(AND(M31="2016",OR(L35="Surveillance I", L35="Surveillance II",T22="Surveillance I",T22="Surveillance II")),P31,R31)</f>
        <v>0</v>
      </c>
      <c r="R35" s="180">
        <f>IF(AND(M32="2018",OR(L35="Surveillance I", L35="Surveillance II",T22="Surveillance I",T22="Surveillance II")),P32,R32)</f>
        <v>0</v>
      </c>
      <c r="S35" s="304" t="e">
        <f>IF(L35=" ",0,SUM(M35:R35)+(Q25+R25+S25))</f>
        <v>#N/A</v>
      </c>
    </row>
    <row r="36" spans="8:24" ht="25.15" customHeight="1" thickBot="1">
      <c r="L36" s="178" t="str">
        <f>IF(OR('5-ATJIF-02'!E19="Scope Ext.",'3-Quotation'!M7="for Surv.I Trans Cert+Scope Ext.",'3-Quotation'!M7="for Surv.II Trans Cert+Scope Ext.",'3-Quotation'!M7="for Scope Extension"),"Scope Ext.","")</f>
        <v/>
      </c>
      <c r="M36" s="244">
        <f>IF(AND(L36="Scope Ext.",'5-ATJIF-02'!I25&gt;'2-Calc. Sheet'!I15,M34="QMS"),(M35*3)-(VLOOKUP('5-ATJIF-02'!G25,Sheet4!A1:I23,2,FALSE)),0)</f>
        <v>0</v>
      </c>
      <c r="N36" s="244">
        <f>IF(AND(L36="Scope Ext.",'5-ATJIF-02'!I25&gt;'2-Calc. Sheet'!I15,N34="EMS"),(N35*3)-(VLOOKUP('5-ATJIF-02'!G25,Sheet4!A1:I23,3,FALSE)),0)</f>
        <v>0</v>
      </c>
      <c r="O36" s="244">
        <f>IF(AND(L36="Scope Ext.",'5-ATJIF-02'!I25&gt;'2-Calc. Sheet'!I15,O34="OHSAS"),(O35*3)-(VLOOKUP('5-ATJIF-02'!G25,Sheet4!A1:I23,3,FALSE)),0)</f>
        <v>0</v>
      </c>
      <c r="P36" s="245">
        <f>IF(OR(AND(L36="Scope Ext.",'5-ATJIF-02'!I25&gt;'2-Calc. Sheet'!I15),AND(L36="Scope Ext.",O14&lt;'5-ATJIF-02'!H26),AND(L36="Scope Ext.",P34="FSMS")),VLOOKUP('5-ATJIF-02'!G25,Table3146[#All],3,FALSE)+'5-ATJIF-02'!G26,0)</f>
        <v>0</v>
      </c>
      <c r="Q36" s="245">
        <f>IF(AND(L36="Scope Ext.",'5-ATJIF-02'!I25&gt;'2-Calc. Sheet'!I15,Q34="MDMS"),(Q35*3)-(VLOOKUP('5-ATJIF-02'!G25,Sheet2!A1:I31,4,FALSE)),0)</f>
        <v>0</v>
      </c>
      <c r="R36" s="245">
        <f>IF(AND(L36="Scope Ext.",'5-ATJIF-02'!I24&gt;'2-Calc. Sheet'!K15,R34="EnMS"),(R35*3)-(VLOOKUP('5-ATJIF-02'!G24,Sheet2!E1:AO13,29,FALSE)),0)</f>
        <v>0</v>
      </c>
      <c r="S36" s="246">
        <f>SUM(M36:R36)</f>
        <v>0</v>
      </c>
    </row>
    <row r="37" spans="8:24" ht="25.15" customHeight="1"/>
    <row r="43" spans="8:24" ht="25.15" customHeight="1"/>
  </sheetData>
  <sheetProtection algorithmName="SHA-512" hashValue="JCPo0+GLzs6mmQakTFRVWItfC+O9RTp00FcVgqWWMeyiIwzOyJ/JyCMwDxC9I7umU0GUTwriPTsVYuxQ8onVmw==" saltValue="dq+tDhBsinnojquEdyC+ug==" spinCount="100000" sheet="1" formatCells="0" formatColumns="0" formatRows="0" selectLockedCells="1"/>
  <dataConsolidate function="varp">
    <dataRefs count="1">
      <dataRef ref="C1:C1048576" sheet="Classification" r:id="rId1"/>
    </dataRefs>
  </dataConsolidate>
  <mergeCells count="104">
    <mergeCell ref="Q18:Q19"/>
    <mergeCell ref="S18:S19"/>
    <mergeCell ref="U18:U19"/>
    <mergeCell ref="L16:L19"/>
    <mergeCell ref="O18:O19"/>
    <mergeCell ref="T16:T17"/>
    <mergeCell ref="U16:U17"/>
    <mergeCell ref="M18:N19"/>
    <mergeCell ref="B29:C29"/>
    <mergeCell ref="L20:L21"/>
    <mergeCell ref="O21:U21"/>
    <mergeCell ref="T22:U22"/>
    <mergeCell ref="M20:N20"/>
    <mergeCell ref="M22:S22"/>
    <mergeCell ref="S20:U20"/>
    <mergeCell ref="P20:Q20"/>
    <mergeCell ref="W23:W24"/>
    <mergeCell ref="X23:X24"/>
    <mergeCell ref="T26:X26"/>
    <mergeCell ref="T27:X27"/>
    <mergeCell ref="T28:X28"/>
    <mergeCell ref="T29:X29"/>
    <mergeCell ref="T30:X30"/>
    <mergeCell ref="D27:E27"/>
    <mergeCell ref="D28:E28"/>
    <mergeCell ref="D29:E29"/>
    <mergeCell ref="N23:N24"/>
    <mergeCell ref="O23:O24"/>
    <mergeCell ref="P23:P24"/>
    <mergeCell ref="Q23:Q24"/>
    <mergeCell ref="R23:R24"/>
    <mergeCell ref="M23:M26"/>
    <mergeCell ref="S23:S24"/>
    <mergeCell ref="T23:T24"/>
    <mergeCell ref="U23:U24"/>
    <mergeCell ref="L24:L26"/>
    <mergeCell ref="T32:X32"/>
    <mergeCell ref="T33:X33"/>
    <mergeCell ref="A25:K25"/>
    <mergeCell ref="T31:X31"/>
    <mergeCell ref="C7:G7"/>
    <mergeCell ref="A6:B6"/>
    <mergeCell ref="A7:B7"/>
    <mergeCell ref="A11:B11"/>
    <mergeCell ref="C10:G10"/>
    <mergeCell ref="C9:F9"/>
    <mergeCell ref="A10:B10"/>
    <mergeCell ref="R18:R19"/>
    <mergeCell ref="T18:T19"/>
    <mergeCell ref="P15:Q15"/>
    <mergeCell ref="S15:T15"/>
    <mergeCell ref="M8:N8"/>
    <mergeCell ref="S14:T14"/>
    <mergeCell ref="P18:P19"/>
    <mergeCell ref="O16:O17"/>
    <mergeCell ref="P16:Q17"/>
    <mergeCell ref="R16:S17"/>
    <mergeCell ref="A17:K17"/>
    <mergeCell ref="V23:V24"/>
    <mergeCell ref="J11:K12"/>
    <mergeCell ref="J34:K35"/>
    <mergeCell ref="D12:E13"/>
    <mergeCell ref="F12:G13"/>
    <mergeCell ref="D14:E15"/>
    <mergeCell ref="F14:G15"/>
    <mergeCell ref="D30:E30"/>
    <mergeCell ref="D31:E31"/>
    <mergeCell ref="B30:C30"/>
    <mergeCell ref="B31:C31"/>
    <mergeCell ref="L33:M33"/>
    <mergeCell ref="C12:C13"/>
    <mergeCell ref="A14:B15"/>
    <mergeCell ref="C14:C15"/>
    <mergeCell ref="B27:C27"/>
    <mergeCell ref="B28:C28"/>
    <mergeCell ref="H11:I12"/>
    <mergeCell ref="M15:N15"/>
    <mergeCell ref="M14:N14"/>
    <mergeCell ref="M16:N17"/>
    <mergeCell ref="L22:L23"/>
    <mergeCell ref="L1:O3"/>
    <mergeCell ref="T1:U1"/>
    <mergeCell ref="S2:U2"/>
    <mergeCell ref="A12:B13"/>
    <mergeCell ref="L14:L15"/>
    <mergeCell ref="P14:Q14"/>
    <mergeCell ref="L4:U4"/>
    <mergeCell ref="M6:N6"/>
    <mergeCell ref="M7:N7"/>
    <mergeCell ref="L6:L7"/>
    <mergeCell ref="L9:L13"/>
    <mergeCell ref="G3:I3"/>
    <mergeCell ref="A1:D3"/>
    <mergeCell ref="H1:I1"/>
    <mergeCell ref="G2:I2"/>
    <mergeCell ref="C8:F8"/>
    <mergeCell ref="A4:I4"/>
    <mergeCell ref="A9:B9"/>
    <mergeCell ref="A8:B8"/>
    <mergeCell ref="P6:Q7"/>
    <mergeCell ref="M9:N13"/>
    <mergeCell ref="O9:U13"/>
    <mergeCell ref="C6:G6"/>
    <mergeCell ref="S3:U3"/>
  </mergeCells>
  <conditionalFormatting sqref="A28:A31">
    <cfRule type="containsBlanks" dxfId="73" priority="24">
      <formula>LEN(TRIM(A28))=0</formula>
    </cfRule>
  </conditionalFormatting>
  <conditionalFormatting sqref="C20:E23">
    <cfRule type="containsText" dxfId="72" priority="1" operator="containsText" text="Non-Accredit">
      <formula>NOT(ISERROR(SEARCH("Non-Accredit",C20)))</formula>
    </cfRule>
  </conditionalFormatting>
  <conditionalFormatting sqref="D28">
    <cfRule type="containsBlanks" dxfId="71" priority="23">
      <formula>LEN(TRIM(D28))=0</formula>
    </cfRule>
  </conditionalFormatting>
  <conditionalFormatting sqref="F28:K31">
    <cfRule type="containsText" dxfId="70" priority="22" operator="containsText" text="Non-qualified">
      <formula>NOT(ISERROR(SEARCH("Non-qualified",F28)))</formula>
    </cfRule>
  </conditionalFormatting>
  <conditionalFormatting sqref="I10:K10">
    <cfRule type="cellIs" dxfId="69" priority="4" operator="equal">
      <formula>"ACCREDIA"</formula>
    </cfRule>
    <cfRule type="containsText" dxfId="68" priority="52" operator="containsText" text="Non-Accredit">
      <formula>NOT(ISERROR(SEARCH("Non-Accredit",I10)))</formula>
    </cfRule>
  </conditionalFormatting>
  <conditionalFormatting sqref="L6">
    <cfRule type="containsText" dxfId="67" priority="44" operator="containsText" text="*Required">
      <formula>NOT(ISERROR(SEARCH("*Required",L6)))</formula>
    </cfRule>
  </conditionalFormatting>
  <conditionalFormatting sqref="L8">
    <cfRule type="containsText" dxfId="66" priority="43" operator="containsText" text="*Required">
      <formula>NOT(ISERROR(SEARCH("*Required",L8)))</formula>
    </cfRule>
  </conditionalFormatting>
  <conditionalFormatting sqref="L9:L13">
    <cfRule type="containsText" dxfId="65" priority="17" operator="containsText" text="*Required">
      <formula>NOT(ISERROR(SEARCH("*Required",L9)))</formula>
    </cfRule>
  </conditionalFormatting>
  <conditionalFormatting sqref="L14">
    <cfRule type="containsText" dxfId="64" priority="41" operator="containsText" text="*Required">
      <formula>NOT(ISERROR(SEARCH("*Required",L14)))</formula>
    </cfRule>
  </conditionalFormatting>
  <conditionalFormatting sqref="L16">
    <cfRule type="containsText" dxfId="63" priority="40" operator="containsText" text="*Required">
      <formula>NOT(ISERROR(SEARCH("*Required",L16)))</formula>
    </cfRule>
  </conditionalFormatting>
  <conditionalFormatting sqref="L20">
    <cfRule type="containsText" dxfId="62" priority="37" operator="containsText" text="*Required">
      <formula>NOT(ISERROR(SEARCH("*Required",L20)))</formula>
    </cfRule>
  </conditionalFormatting>
  <conditionalFormatting sqref="L22">
    <cfRule type="containsText" dxfId="61" priority="18" operator="containsText" text="Required">
      <formula>NOT(ISERROR(SEARCH("Required",L22)))</formula>
    </cfRule>
  </conditionalFormatting>
  <conditionalFormatting sqref="R6:R7 T6:T7">
    <cfRule type="containsBlanks" dxfId="60" priority="15">
      <formula>LEN(TRIM(R6))=0</formula>
    </cfRule>
    <cfRule type="notContainsBlanks" dxfId="59" priority="16">
      <formula>LEN(TRIM(R6))&gt;0</formula>
    </cfRule>
  </conditionalFormatting>
  <conditionalFormatting sqref="R20">
    <cfRule type="containsBlanks" dxfId="58" priority="20">
      <formula>LEN(TRIM(R20))=0</formula>
    </cfRule>
  </conditionalFormatting>
  <conditionalFormatting sqref="S27">
    <cfRule type="cellIs" dxfId="57" priority="7" operator="lessThan">
      <formula>$Y$27*-1</formula>
    </cfRule>
  </conditionalFormatting>
  <conditionalFormatting sqref="S28">
    <cfRule type="cellIs" dxfId="56" priority="6" operator="lessThan">
      <formula>$Y$28*-1</formula>
    </cfRule>
  </conditionalFormatting>
  <conditionalFormatting sqref="S29:S32">
    <cfRule type="cellIs" dxfId="55" priority="3" operator="lessThan">
      <formula>$Y$29*-1</formula>
    </cfRule>
  </conditionalFormatting>
  <conditionalFormatting sqref="S33:T33">
    <cfRule type="containsText" dxfId="54" priority="21" operator="containsText" text="Create Quotation">
      <formula>NOT(ISERROR(SEARCH("Create Quotation",S33)))</formula>
    </cfRule>
  </conditionalFormatting>
  <conditionalFormatting sqref="T22:U22">
    <cfRule type="containsBlanks" dxfId="53" priority="19">
      <formula>LEN(TRIM(T22))=0</formula>
    </cfRule>
  </conditionalFormatting>
  <conditionalFormatting sqref="T25:X25">
    <cfRule type="containsBlanks" dxfId="52" priority="26">
      <formula>LEN(TRIM(T25))=0</formula>
    </cfRule>
  </conditionalFormatting>
  <conditionalFormatting sqref="Y27:Y29">
    <cfRule type="cellIs" dxfId="51" priority="13" operator="greaterThan">
      <formula>0</formula>
    </cfRule>
  </conditionalFormatting>
  <dataValidations xWindow="192" yWindow="319" count="28">
    <dataValidation allowBlank="1" showInputMessage="1" showErrorMessage="1" promptTitle="A.B." prompt="Accreditation Body" sqref="I10:K10" xr:uid="{00000000-0002-0000-0400-000000000000}"/>
    <dataValidation allowBlank="1" showInputMessage="1" showErrorMessage="1" prompt="If you've more than one manufacturing site, please complete the details in the multi-site worksheet" sqref="G8" xr:uid="{00000000-0002-0000-0400-000001000000}"/>
    <dataValidation allowBlank="1" showInputMessage="1" showErrorMessage="1" prompt="Accreditation Body" sqref="A33" xr:uid="{00000000-0002-0000-0400-000002000000}"/>
    <dataValidation type="whole" allowBlank="1" showInputMessage="1" showErrorMessage="1" sqref="G11" xr:uid="{00000000-0002-0000-0400-000003000000}">
      <formula1>1</formula1>
      <formula2>12</formula2>
    </dataValidation>
    <dataValidation type="whole" operator="greaterThanOrEqual" allowBlank="1" showInputMessage="1" showErrorMessage="1" sqref="E11" xr:uid="{00000000-0002-0000-0400-000004000000}">
      <formula1>1</formula1>
    </dataValidation>
    <dataValidation type="list" allowBlank="1" showInputMessage="1" showErrorMessage="1" sqref="D28:D31" xr:uid="{00000000-0002-0000-0400-000005000000}">
      <formula1>"Lead Auditor, Auditor, Auditor In-Training, Technical Expert, Observer"</formula1>
    </dataValidation>
    <dataValidation operator="lessThanOrEqual" allowBlank="1" showInputMessage="1" showErrorMessage="1" errorTitle="Info." error="Not more than 100%" sqref="O6" xr:uid="{00000000-0002-0000-0400-000006000000}"/>
    <dataValidation type="whole" allowBlank="1" showInputMessage="1" showErrorMessage="1" sqref="S7 U6:X6" xr:uid="{00000000-0002-0000-0400-000007000000}">
      <formula1>1</formula1>
      <formula2>4</formula2>
    </dataValidation>
    <dataValidation showInputMessage="1" showErrorMessage="1" sqref="O16" xr:uid="{00000000-0002-0000-0400-000008000000}"/>
    <dataValidation type="list" allowBlank="1" showInputMessage="1" showErrorMessage="1" prompt="Permanent Physical Site (PPS)_x000a_Permanent Virtual Site (PVS)_x000a_Temporary Physical Site (TPS)_x000a_Temporary Virtual Site (TPS)" sqref="I8:K8" xr:uid="{00000000-0002-0000-0400-000009000000}">
      <formula1>"PPS, PVS, Major.TPS, Minor.TPS, Major.TVS, Minor.TVS"</formula1>
    </dataValidation>
    <dataValidation type="whole" showInputMessage="1" showErrorMessage="1" sqref="S6" xr:uid="{00000000-0002-0000-0400-00000A000000}">
      <formula1>1</formula1>
      <formula2>4</formula2>
    </dataValidation>
    <dataValidation operator="greaterThan" allowBlank="1" showInputMessage="1" showErrorMessage="1" sqref="O14" xr:uid="{00000000-0002-0000-0400-00000B000000}"/>
    <dataValidation type="list" allowBlank="1" showInputMessage="1" showErrorMessage="1" sqref="T25" xr:uid="{00000000-0002-0000-0400-00000C000000}">
      <formula1>"High, Moderate, Low"</formula1>
    </dataValidation>
    <dataValidation type="list" allowBlank="1" showInputMessage="1" showErrorMessage="1" sqref="P8 R8 T8" xr:uid="{00000000-0002-0000-0400-00000D000000}">
      <formula1>"Yes"</formula1>
    </dataValidation>
    <dataValidation allowBlank="1" showInputMessage="1" showErrorMessage="1" promptTitle="C.C.N." prompt="Client Code Number" sqref="I6:K6" xr:uid="{00000000-0002-0000-0400-00000E000000}"/>
    <dataValidation allowBlank="1" showInputMessage="1" showErrorMessage="1" promptTitle="T.N.E." prompt="Total Number of Employees" sqref="I14 K14" xr:uid="{00000000-0002-0000-0400-00000F000000}"/>
    <dataValidation allowBlank="1" showInputMessage="1" showErrorMessage="1" promptTitle="E.N.P." prompt="Effective Number of Employees" sqref="I15 K15" xr:uid="{00000000-0002-0000-0400-000010000000}"/>
    <dataValidation allowBlank="1" showInputMessage="1" showErrorMessage="1" promptTitle="TC" prompt="Technical Skill Code e.g. QMS 3a" sqref="F20:F23" xr:uid="{00000000-0002-0000-0400-000011000000}"/>
    <dataValidation allowBlank="1" showInputMessage="1" showErrorMessage="1" promptTitle="TC" prompt="Technical Skill Code e.g. EMS 3a" sqref="G20:G23" xr:uid="{00000000-0002-0000-0400-000012000000}"/>
    <dataValidation allowBlank="1" showInputMessage="1" showErrorMessage="1" promptTitle="TC" prompt="Technical Skill Code e.g. OHS 24" sqref="H20:H23" xr:uid="{00000000-0002-0000-0400-000013000000}"/>
    <dataValidation allowBlank="1" showInputMessage="1" showErrorMessage="1" promptTitle="SC" prompt="Subcategory Code e.g. FSM CIV" sqref="I20:K23" xr:uid="{00000000-0002-0000-0400-000014000000}"/>
    <dataValidation type="list" allowBlank="1" showInputMessage="1" showErrorMessage="1" sqref="T33" xr:uid="{00000000-0002-0000-0400-000015000000}">
      <formula1>"Create Quotation"</formula1>
    </dataValidation>
    <dataValidation type="list" allowBlank="1" showInputMessage="1" showErrorMessage="1" sqref="T22:U22" xr:uid="{00000000-0002-0000-0400-000016000000}">
      <formula1>"Surveillance I, Surveillance II"</formula1>
    </dataValidation>
    <dataValidation allowBlank="1" showErrorMessage="1" prompt="If you've more than one manufacturing site, please complete the details in the multi-site worksheet" sqref="C8:F8" xr:uid="{00000000-0002-0000-0400-000017000000}"/>
    <dataValidation type="list" allowBlank="1" showInputMessage="1" showErrorMessage="1" sqref="U16:X17" xr:uid="{00000000-0002-0000-0400-000018000000}">
      <formula1>"Valid, Expired"</formula1>
    </dataValidation>
    <dataValidation operator="greaterThanOrEqual" allowBlank="1" showInputMessage="1" showErrorMessage="1" sqref="S27" xr:uid="{00000000-0002-0000-0400-000019000000}"/>
    <dataValidation type="list" allowBlank="1" showInputMessage="1" showErrorMessage="1" sqref="S25" xr:uid="{00000000-0002-0000-0400-00001A000000}">
      <formula1>"0, 0.25, 0.5, 0.75, 1"</formula1>
    </dataValidation>
    <dataValidation type="list" allowBlank="1" showInputMessage="1" showErrorMessage="1" sqref="U25:W25" xr:uid="{00000000-0002-0000-0400-00001B000000}">
      <formula1>"High, Moderate, Low, Limited"</formula1>
    </dataValidation>
  </dataValidations>
  <hyperlinks>
    <hyperlink ref="G8" location="'Multi-Site'!A1" display="+" xr:uid="{00000000-0004-0000-0400-000000000000}"/>
    <hyperlink ref="T33:U33" location="'3-Quotation'!ENP" display="Create Quotation" xr:uid="{00000000-0004-0000-0400-000001000000}"/>
  </hyperlinks>
  <pageMargins left="0.25" right="0.25" top="0.75" bottom="0.75" header="0.3" footer="0.3"/>
  <pageSetup paperSize="9" orientation="portrait" horizontalDpi="300" verticalDpi="300" r:id="rId2"/>
  <customProperties>
    <customPr name="LastActive" r:id="rId3"/>
  </customProperties>
  <ignoredErrors>
    <ignoredError sqref="I13" emptyCellReference="1"/>
  </ignoredErrors>
  <drawing r:id="rId4"/>
  <legacyDrawing r:id="rId5"/>
  <extLst>
    <ext xmlns:x14="http://schemas.microsoft.com/office/spreadsheetml/2009/9/main" uri="{CCE6A557-97BC-4b89-ADB6-D9C93CAAB3DF}">
      <x14:dataValidations xmlns:xm="http://schemas.microsoft.com/office/excel/2006/main" xWindow="192" yWindow="319" count="5">
        <x14:dataValidation type="list" allowBlank="1" showInputMessage="1" showErrorMessage="1" promptTitle="A.C.N." prompt="Auditor Code Number" xr:uid="{00000000-0002-0000-0400-00001C000000}">
          <x14:formula1>
            <xm:f>Auditors!$A$2:$A$16</xm:f>
          </x14:formula1>
          <xm:sqref>A28</xm:sqref>
        </x14:dataValidation>
        <x14:dataValidation type="list" allowBlank="1" showInputMessage="1" showErrorMessage="1" promptTitle="A.C.N." prompt="Auditor Code Number" xr:uid="{00000000-0002-0000-0400-00001D000000}">
          <x14:formula1>
            <xm:f>Auditors!$A$2:$A$25</xm:f>
          </x14:formula1>
          <xm:sqref>A29:A31</xm:sqref>
        </x14:dataValidation>
        <x14:dataValidation type="list" allowBlank="1" showInputMessage="1" showErrorMessage="1" promptTitle="Code" prompt="e.g. EA Code or Cat. Code" xr:uid="{00000000-0002-0000-0400-00001E000000}">
          <x14:formula1>
            <xm:f>Classification!$A$2:$A$71</xm:f>
          </x14:formula1>
          <xm:sqref>A20:A23</xm:sqref>
        </x14:dataValidation>
        <x14:dataValidation type="list" allowBlank="1" showInputMessage="1" showErrorMessage="1" xr:uid="{00000000-0002-0000-0400-00001F000000}">
          <x14:formula1>
            <xm:f>Classification!$N$2:$N$8</xm:f>
          </x14:formula1>
          <xm:sqref>C20:C23</xm:sqref>
        </x14:dataValidation>
        <x14:dataValidation type="list" allowBlank="1" showInputMessage="1" showErrorMessage="1" xr:uid="{00000000-0002-0000-0400-000020000000}">
          <x14:formula1>
            <xm:f>Classification!$O$2:$O$38</xm:f>
          </x14:formula1>
          <xm:sqref>D20:D23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W36"/>
  <sheetViews>
    <sheetView showGridLines="0" zoomScaleNormal="100" workbookViewId="0">
      <selection activeCell="M7" sqref="M7:O7"/>
    </sheetView>
  </sheetViews>
  <sheetFormatPr defaultRowHeight="15"/>
  <cols>
    <col min="2" max="2" width="12.42578125" customWidth="1"/>
    <col min="4" max="4" width="10.42578125" customWidth="1"/>
    <col min="5" max="5" width="8.140625" customWidth="1"/>
    <col min="6" max="6" width="10" customWidth="1"/>
    <col min="7" max="7" width="8.42578125" customWidth="1"/>
    <col min="8" max="8" width="10.5703125" customWidth="1"/>
    <col min="12" max="12" width="9" customWidth="1"/>
    <col min="15" max="15" width="9" customWidth="1"/>
    <col min="17" max="17" width="9.42578125" bestFit="1" customWidth="1"/>
    <col min="19" max="19" width="8.42578125" customWidth="1"/>
  </cols>
  <sheetData>
    <row r="1" spans="1:23" ht="14.25" customHeight="1">
      <c r="A1" s="404" t="s">
        <v>1</v>
      </c>
      <c r="B1" s="404"/>
      <c r="C1" s="404"/>
      <c r="D1" s="404"/>
      <c r="E1" s="20"/>
      <c r="F1" s="20"/>
      <c r="G1" s="20"/>
      <c r="H1" s="405" t="s">
        <v>191</v>
      </c>
      <c r="I1" s="405"/>
      <c r="J1" s="404" t="s">
        <v>3</v>
      </c>
      <c r="K1" s="404"/>
      <c r="L1" s="404"/>
      <c r="M1" s="404"/>
      <c r="Q1" s="20"/>
      <c r="R1" s="405" t="s">
        <v>191</v>
      </c>
      <c r="S1" s="405"/>
    </row>
    <row r="2" spans="1:23" ht="14.25" customHeight="1">
      <c r="A2" s="404"/>
      <c r="B2" s="404"/>
      <c r="C2" s="404"/>
      <c r="D2" s="404"/>
      <c r="E2" s="20"/>
      <c r="F2" s="20"/>
      <c r="G2" s="405" t="s">
        <v>192</v>
      </c>
      <c r="H2" s="405"/>
      <c r="I2" s="405"/>
      <c r="J2" s="404"/>
      <c r="K2" s="404"/>
      <c r="L2" s="404"/>
      <c r="M2" s="404"/>
      <c r="Q2" s="405" t="s">
        <v>193</v>
      </c>
      <c r="R2" s="405"/>
      <c r="S2" s="405"/>
    </row>
    <row r="3" spans="1:23" ht="14.25" customHeight="1">
      <c r="A3" s="404"/>
      <c r="B3" s="404"/>
      <c r="C3" s="404"/>
      <c r="D3" s="404"/>
      <c r="E3" s="20"/>
      <c r="F3" s="20"/>
      <c r="G3" s="547" t="s">
        <v>1091</v>
      </c>
      <c r="H3" s="547"/>
      <c r="I3" s="547"/>
      <c r="J3" s="404"/>
      <c r="K3" s="404"/>
      <c r="L3" s="404"/>
      <c r="M3" s="404"/>
      <c r="Q3" s="547" t="s">
        <v>1091</v>
      </c>
      <c r="R3" s="547"/>
      <c r="S3" s="547"/>
    </row>
    <row r="4" spans="1:23">
      <c r="A4" s="539" t="s">
        <v>109</v>
      </c>
      <c r="B4" s="540"/>
      <c r="C4" s="540"/>
      <c r="D4" s="540"/>
      <c r="E4" s="540"/>
      <c r="F4" s="540"/>
      <c r="G4" s="540"/>
      <c r="H4" s="540"/>
      <c r="I4" s="541"/>
      <c r="J4" s="539" t="s">
        <v>194</v>
      </c>
      <c r="K4" s="540"/>
      <c r="L4" s="540"/>
      <c r="M4" s="540"/>
      <c r="N4" s="540"/>
      <c r="O4" s="540"/>
      <c r="P4" s="540"/>
      <c r="Q4" s="540"/>
      <c r="R4" s="540"/>
      <c r="S4" s="541"/>
    </row>
    <row r="5" spans="1:23">
      <c r="A5" s="9"/>
      <c r="B5" s="10"/>
      <c r="C5" s="10"/>
      <c r="D5" s="10"/>
      <c r="E5" s="10"/>
      <c r="F5" s="10"/>
      <c r="G5" s="10"/>
      <c r="H5" s="10"/>
      <c r="I5" s="12"/>
      <c r="O5" s="7"/>
      <c r="P5" s="274" t="s">
        <v>195</v>
      </c>
      <c r="Q5" s="274" t="s">
        <v>196</v>
      </c>
      <c r="R5" s="4" t="s">
        <v>197</v>
      </c>
      <c r="S5" s="274" t="s">
        <v>190</v>
      </c>
    </row>
    <row r="6" spans="1:23" ht="25.15" customHeight="1" thickBot="1">
      <c r="A6" s="611" t="s">
        <v>112</v>
      </c>
      <c r="B6" s="611"/>
      <c r="C6" s="612">
        <f>'2-Calc. Sheet'!C6:G6</f>
        <v>0</v>
      </c>
      <c r="D6" s="613"/>
      <c r="E6" s="613"/>
      <c r="F6" s="685"/>
      <c r="G6" s="38" t="s">
        <v>198</v>
      </c>
      <c r="H6" s="688" t="str">
        <f>'2-Calc. Sheet'!I6</f>
        <v>Q0</v>
      </c>
      <c r="I6" s="689"/>
      <c r="J6" s="677" t="s">
        <v>199</v>
      </c>
      <c r="K6" s="678"/>
      <c r="L6" s="678"/>
      <c r="M6" s="678"/>
      <c r="N6" s="678"/>
      <c r="O6" s="679"/>
      <c r="P6" s="55" t="str">
        <f>VLOOKUP(H7,Sheet2!Y1:AE194,7,FALSE)</f>
        <v>EGP</v>
      </c>
      <c r="Q6" s="56">
        <f>VLOOKUP(H7,Sheet2!Y2:AD194,4,FALSE)</f>
        <v>500</v>
      </c>
      <c r="R6" s="98">
        <v>0</v>
      </c>
      <c r="S6" s="98">
        <v>0</v>
      </c>
      <c r="T6" s="290"/>
      <c r="U6" s="290"/>
      <c r="V6" s="290"/>
    </row>
    <row r="7" spans="1:23" ht="25.15" customHeight="1" thickTop="1" thickBot="1">
      <c r="A7" s="611" t="s">
        <v>116</v>
      </c>
      <c r="B7" s="611"/>
      <c r="C7" s="612">
        <f>'2-Calc. Sheet'!C7:G7</f>
        <v>0</v>
      </c>
      <c r="D7" s="613"/>
      <c r="E7" s="613"/>
      <c r="F7" s="685"/>
      <c r="G7" s="39" t="s">
        <v>13</v>
      </c>
      <c r="H7" s="688" t="str">
        <f>'2-Calc. Sheet'!I7</f>
        <v>Egypt</v>
      </c>
      <c r="I7" s="689"/>
      <c r="J7" s="680" t="s">
        <v>200</v>
      </c>
      <c r="K7" s="681"/>
      <c r="L7" s="681"/>
      <c r="M7" s="683" t="s">
        <v>1076</v>
      </c>
      <c r="N7" s="683"/>
      <c r="O7" s="684"/>
      <c r="P7" s="56" t="s">
        <v>201</v>
      </c>
      <c r="Q7" s="243" t="e">
        <f>IF(M7="for Initializing Cert",SUM('2-Calc. Sheet'!N33,'2-Calc. Sheet'!O33),IF('3-Quotation'!M7="for Surv. I Trans Cert",'2-Calc. Sheet'!S35,IF('3-Quotation'!M7="for Surv. II Trans Cert",'2-Calc. Sheet'!S35,IF('3-Quotation'!M7="for Recert.Trans Cert",'2-Calc. Sheet'!R33,IF('3-Quotation'!M7="for Scope Extension",'2-Calc. Sheet'!S36,IF('3-Quotation'!M7="for Surv.I Trans Cert+Scope Ext.",SUM('2-Calc. Sheet'!S35:S36),IF('3-Quotation'!M7="for Surv.II Trans Cert+Scope Ext.",SUM('2-Calc. Sheet'!S35:S36,IF(M7="",0,"0")))))))))</f>
        <v>#N/A</v>
      </c>
      <c r="R7" s="56" t="s">
        <v>202</v>
      </c>
      <c r="S7" s="56">
        <v>0</v>
      </c>
      <c r="T7" s="290"/>
      <c r="U7" s="99" t="e">
        <f>((Q7*1000)+(1000/2)+500)+0.2*((Q7*1000)+(1000/2)+500)</f>
        <v>#N/A</v>
      </c>
      <c r="V7" s="290"/>
      <c r="W7" s="206"/>
    </row>
    <row r="8" spans="1:23" ht="25.15" customHeight="1" thickTop="1" thickBot="1">
      <c r="A8" s="549" t="s">
        <v>118</v>
      </c>
      <c r="B8" s="549"/>
      <c r="C8" s="548" t="str">
        <f>'2-Calc. Sheet'!C8:F8</f>
        <v xml:space="preserve"> </v>
      </c>
      <c r="D8" s="548"/>
      <c r="E8" s="548"/>
      <c r="F8" s="548"/>
      <c r="G8" s="39" t="s">
        <v>120</v>
      </c>
      <c r="H8" s="688" t="str">
        <f>'2-Calc. Sheet'!I8</f>
        <v>PPS</v>
      </c>
      <c r="I8" s="689"/>
      <c r="J8" s="680" t="s">
        <v>203</v>
      </c>
      <c r="K8" s="681"/>
      <c r="L8" s="681"/>
      <c r="M8" s="681"/>
      <c r="N8" s="681"/>
      <c r="O8" s="682"/>
      <c r="P8" s="56" t="s">
        <v>201</v>
      </c>
      <c r="Q8" s="56">
        <f>IF(M7="for Others",0,VLOOKUP(C9,Sheet1!A1:K43,11,FALSE))</f>
        <v>1</v>
      </c>
      <c r="R8" s="56" t="s">
        <v>202</v>
      </c>
      <c r="S8" s="56">
        <v>0</v>
      </c>
      <c r="T8" s="290"/>
      <c r="U8" s="99" t="e">
        <f>(('2-Calc. Sheet'!S35*1000)+(1000/2))+0.2*(('2-Calc. Sheet'!S35*1000)+(1000/2))</f>
        <v>#N/A</v>
      </c>
      <c r="V8" s="290"/>
      <c r="W8" s="206"/>
    </row>
    <row r="9" spans="1:23" ht="25.15" customHeight="1" thickTop="1" thickBot="1">
      <c r="A9" s="680" t="s">
        <v>54</v>
      </c>
      <c r="B9" s="682"/>
      <c r="C9" s="612" t="str">
        <f>'2-Calc. Sheet'!C9:F9</f>
        <v>QMS 2015</v>
      </c>
      <c r="D9" s="613"/>
      <c r="E9" s="613"/>
      <c r="F9" s="685"/>
      <c r="G9" s="40" t="s">
        <v>204</v>
      </c>
      <c r="H9" s="686" t="str">
        <f>'2-Calc. Sheet'!I9</f>
        <v>Seperatly</v>
      </c>
      <c r="I9" s="687"/>
      <c r="J9" s="680" t="str">
        <f>IF(M7="for Scope Extension","Special Visit Fee",IF(M7="for Others","Visit Fee",IF(M7="for Surv. I Trans Cert"," ",IF(M7="for Surv. II Trans Cert"," ",IF(M7="for Surv.I Trans Cert+Scope Ext.","Extension Audit Fee",IF(M7="for Surv.II Trans Cert+Scope Ext.","Extension Audit Fee","Registration &amp; Audit Fee"))))))</f>
        <v>Registration &amp; Audit Fee</v>
      </c>
      <c r="K9" s="681"/>
      <c r="L9" s="681"/>
      <c r="M9" s="681"/>
      <c r="N9" s="681"/>
      <c r="O9" s="682"/>
      <c r="P9" s="56" t="str">
        <f>VLOOKUP(H7,Sheet2!Y1:AE194,7,FALSE)</f>
        <v>EGP</v>
      </c>
      <c r="Q9" s="65" t="e">
        <f>IF(OR(J9="Registration &amp; Audit Fee",J9="Visit Fee",J9="Special Visit Fee"),IF(H7="Egypt",(((Q7)*VLOOKUP(H7,Sheet2!Y1:AF194,2,FALSE))+(VLOOKUP(H7,Sheet2!Y1:AF194,2,FALSE)/2)+(VLOOKUP(H7,Sheet2!Y1:AF194,3,FALSE)*'3-Quotation'!Q8))+((VLOOKUP(H7,Sheet2!Y1:AF194,6,FALSE)*(((Q7)*VLOOKUP(H7,Sheet2!Y1:AF194,2,FALSE))+(VLOOKUP(H7,Sheet2!Y1:AF194,2,FALSE)/2)+(VLOOKUP(H7,Sheet2!Y1:AF194,3,FALSE)*'3-Quotation'!Q8)))),(((Q7)*VLOOKUP(H7,Sheet2!Y1:AF194,2,FALSE))+(VLOOKUP(H7,Sheet2!Y1:AF194,2,FALSE)/2)+(VLOOKUP(H7,Sheet2!Y1:AF194,3,FALSE)*'3-Quotation'!Q8))+((VLOOKUP(H7,Sheet2!Y1:AF194,6,FALSE)*(((Q7)*VLOOKUP(H7,Sheet2!Y1:AF194,2,FALSE))+(VLOOKUP(H7,Sheet2!Y1:AF194,2,FALSE)/2)+(VLOOKUP(H7,Sheet2!Y1:AF194,3,FALSE)*'3-Quotation'!Q8))))),IF(J9="Extension Audit Fee",IF(H7="Egypt",((('2-Calc. Sheet'!S36)*VLOOKUP(H7,Sheet2!Y1:AF194,2,FALSE))+(VLOOKUP(H7,Sheet2!Y1:AF194,2,FALSE)/2)+(VLOOKUP(H7,Sheet2!Y1:AF194,3,FALSE)*'3-Quotation'!Q8))+((VLOOKUP(H7,Sheet2!Y1:AF194,6,FALSE)*((('2-Calc. Sheet'!S36)*VLOOKUP(H7,Sheet2!Y1:AF194,2,FALSE))+(VLOOKUP(H7,Sheet2!Y1:AF194,2,FALSE)/2)+(VLOOKUP(H7,Sheet2!Y1:AF194,3,FALSE)*'3-Quotation'!Q8)))),((('2-Calc. Sheet'!S36)*VLOOKUP(H7,Sheet2!Y1:AF194,2,FALSE))+(VLOOKUP(H7,Sheet2!Y1:AF194,2,FALSE)/2)+(VLOOKUP(H7,Sheet2!Y1:AF194,3,FALSE)*'3-Quotation'!Q8))+((VLOOKUP(H7,Sheet2!Y1:AF194,6,FALSE)*((('2-Calc. Sheet'!S36)*VLOOKUP(H7,Sheet2!Y1:AF194,2,FALSE))+(VLOOKUP(H7,Sheet2!Y1:AF194,2,FALSE)/2)+(VLOOKUP(H7,Sheet2!Y1:AF194,3,FALSE)*'3-Quotation'!Q8)))))))</f>
        <v>#N/A</v>
      </c>
      <c r="R9" s="100">
        <v>0</v>
      </c>
      <c r="S9" s="65" t="e">
        <f>Q9-(Q9*R9)</f>
        <v>#N/A</v>
      </c>
      <c r="T9" s="290"/>
      <c r="U9" s="290"/>
      <c r="V9" s="290"/>
      <c r="W9" s="206"/>
    </row>
    <row r="10" spans="1:23" ht="25.15" customHeight="1" thickTop="1">
      <c r="A10" s="611" t="s">
        <v>64</v>
      </c>
      <c r="B10" s="611"/>
      <c r="C10" s="612">
        <f>'2-Calc. Sheet'!C10:G10</f>
        <v>0</v>
      </c>
      <c r="D10" s="613"/>
      <c r="E10" s="613"/>
      <c r="F10" s="685"/>
      <c r="G10" s="41" t="s">
        <v>65</v>
      </c>
      <c r="H10" s="686" t="str">
        <f>'2-Calc. Sheet'!I10</f>
        <v>EGAC</v>
      </c>
      <c r="I10" s="687"/>
      <c r="J10" s="680" t="str">
        <f>IF(M7="for Scope Extension"," ",IF(M7="for Others"," ",IF(M7="for Surv. II Trans Cert","12-Month Surveillance Audit",IF(M7="for Surv. I Trans Cert","12-Month Surveillance Audit +1",IF(M7="for Surv.I Trans Cert+Scope Ext.","12-Month Surveillance Audit +1",IF(M7="for Surv.II Trans Cert+Scope Ext.","12-Month Surveillance Audit","12-Month Surveillance Audit x2"))))))</f>
        <v>12-Month Surveillance Audit x2</v>
      </c>
      <c r="K10" s="681"/>
      <c r="L10" s="681"/>
      <c r="M10" s="681"/>
      <c r="N10" s="681"/>
      <c r="O10" s="682"/>
      <c r="P10" s="55" t="str">
        <f>VLOOKUP(H7,Sheet2!Y1:AE194,7,FALSE)</f>
        <v>EGP</v>
      </c>
      <c r="Q10" s="65">
        <v>360</v>
      </c>
      <c r="R10" s="100">
        <v>0</v>
      </c>
      <c r="S10" s="65">
        <f>(IF(J10="12-Month Surveillance Audit",Q10,IF(J10="12-Month Surveillance Audit x2",Q10+Q10,IF(J10="12-Month Surveillance Audit +1",Q10,0))))</f>
        <v>720</v>
      </c>
      <c r="T10" s="206"/>
      <c r="U10" s="206"/>
      <c r="V10" s="206"/>
      <c r="W10" s="206"/>
    </row>
    <row r="11" spans="1:23" ht="25.15" customHeight="1" thickBot="1">
      <c r="A11" s="387" t="s">
        <v>32</v>
      </c>
      <c r="B11" s="388"/>
      <c r="C11" s="268">
        <f>'1-Questionnaire'!C10</f>
        <v>0</v>
      </c>
      <c r="D11" s="42" t="s">
        <v>33</v>
      </c>
      <c r="E11" s="81">
        <f>'1-Questionnaire'!E10</f>
        <v>1</v>
      </c>
      <c r="F11" s="42" t="s">
        <v>34</v>
      </c>
      <c r="G11" s="81">
        <f>'1-Questionnaire'!G10</f>
        <v>8</v>
      </c>
      <c r="H11" s="705" t="s">
        <v>205</v>
      </c>
      <c r="I11" s="706"/>
      <c r="J11" s="45" t="s">
        <v>206</v>
      </c>
      <c r="K11" s="410"/>
      <c r="L11" s="411"/>
      <c r="M11" s="411"/>
      <c r="N11" s="411"/>
      <c r="O11" s="412"/>
      <c r="P11" s="36" t="str">
        <f>VLOOKUP(H7,Sheet2!Y1:AE194,7,FALSE)</f>
        <v>EGP</v>
      </c>
      <c r="Q11" s="98"/>
      <c r="R11" s="98">
        <v>0</v>
      </c>
      <c r="S11" s="54">
        <f>Q11-(Q11*R11)</f>
        <v>0</v>
      </c>
      <c r="T11" s="206"/>
      <c r="U11" s="206"/>
      <c r="V11" s="206"/>
      <c r="W11" s="206"/>
    </row>
    <row r="12" spans="1:23" ht="25.15" customHeight="1" thickTop="1" thickBot="1">
      <c r="A12" s="434" t="s">
        <v>38</v>
      </c>
      <c r="B12" s="435"/>
      <c r="C12" s="569">
        <f>'1-Questionnaire'!C12</f>
        <v>0</v>
      </c>
      <c r="D12" s="584" t="s">
        <v>125</v>
      </c>
      <c r="E12" s="585"/>
      <c r="F12" s="588">
        <f>('1-Questionnaire'!G12*('1-Questionnaire'!G13/'1-Questionnaire'!G10))+'1-Questionnaire'!E12+('1-Questionnaire'!I12*('1-Questionnaire'!I13/365))</f>
        <v>0</v>
      </c>
      <c r="G12" s="589"/>
      <c r="H12" s="705"/>
      <c r="I12" s="706"/>
      <c r="J12" s="692" t="s">
        <v>207</v>
      </c>
      <c r="K12" s="693"/>
      <c r="L12" s="693"/>
      <c r="M12" s="693"/>
      <c r="N12" s="693"/>
      <c r="O12" s="693"/>
      <c r="P12" s="693"/>
      <c r="Q12" s="693"/>
      <c r="R12" s="694"/>
      <c r="S12" s="66" t="e">
        <f>SUM(S6:S11)</f>
        <v>#N/A</v>
      </c>
      <c r="T12" s="206"/>
      <c r="U12" s="206"/>
      <c r="V12" s="206"/>
      <c r="W12" s="206"/>
    </row>
    <row r="13" spans="1:23" ht="25.15" customHeight="1" thickTop="1" thickBot="1">
      <c r="A13" s="393"/>
      <c r="B13" s="394"/>
      <c r="C13" s="570"/>
      <c r="D13" s="586"/>
      <c r="E13" s="587"/>
      <c r="F13" s="590"/>
      <c r="G13" s="591"/>
      <c r="H13" s="43" t="s">
        <v>35</v>
      </c>
      <c r="I13" s="108">
        <f>'1-Questionnaire'!I10</f>
        <v>1</v>
      </c>
      <c r="J13" s="497" t="s">
        <v>208</v>
      </c>
      <c r="K13" s="497"/>
      <c r="L13" s="497"/>
      <c r="M13" s="497"/>
      <c r="N13" s="497"/>
      <c r="O13" s="497"/>
      <c r="P13" s="497"/>
      <c r="Q13" s="497"/>
      <c r="R13" s="497"/>
      <c r="S13" s="497"/>
    </row>
    <row r="14" spans="1:23" ht="25.15" customHeight="1" thickTop="1" thickBot="1">
      <c r="A14" s="391" t="s">
        <v>47</v>
      </c>
      <c r="B14" s="392"/>
      <c r="C14" s="569">
        <f>'1-Questionnaire'!C14</f>
        <v>0</v>
      </c>
      <c r="D14" s="592" t="s">
        <v>125</v>
      </c>
      <c r="E14" s="593"/>
      <c r="F14" s="596">
        <f>('1-Questionnaire'!G14*('1-Questionnaire'!G15/'1-Questionnaire'!G10))+'1-Questionnaire'!E14+('1-Questionnaire'!I14*('1-Questionnaire'!I15/365))</f>
        <v>0</v>
      </c>
      <c r="G14" s="597"/>
      <c r="H14" s="43" t="s">
        <v>126</v>
      </c>
      <c r="I14" s="82">
        <f>C11+C12+C14</f>
        <v>0</v>
      </c>
      <c r="J14" s="497"/>
      <c r="K14" s="497"/>
      <c r="L14" s="497"/>
      <c r="M14" s="497"/>
      <c r="N14" s="497"/>
      <c r="O14" s="497"/>
      <c r="P14" s="497"/>
      <c r="Q14" s="497"/>
      <c r="R14" s="497"/>
      <c r="S14" s="497"/>
    </row>
    <row r="15" spans="1:23" ht="25.15" customHeight="1" thickTop="1" thickBot="1">
      <c r="A15" s="393"/>
      <c r="B15" s="394"/>
      <c r="C15" s="571"/>
      <c r="D15" s="594"/>
      <c r="E15" s="595"/>
      <c r="F15" s="598"/>
      <c r="G15" s="599"/>
      <c r="H15" s="43" t="s">
        <v>130</v>
      </c>
      <c r="I15" s="82">
        <f>C11+F12+F14</f>
        <v>0</v>
      </c>
      <c r="J15" s="497"/>
      <c r="K15" s="497"/>
      <c r="L15" s="497"/>
      <c r="M15" s="497"/>
      <c r="N15" s="497"/>
      <c r="O15" s="497"/>
      <c r="P15" s="497"/>
      <c r="Q15" s="497"/>
      <c r="R15" s="497"/>
      <c r="S15" s="497"/>
    </row>
    <row r="16" spans="1:23" ht="14.65" customHeight="1" thickTop="1">
      <c r="A16" s="13"/>
      <c r="I16" s="17"/>
      <c r="J16" s="497"/>
      <c r="K16" s="497"/>
      <c r="L16" s="497"/>
      <c r="M16" s="497"/>
      <c r="N16" s="497"/>
      <c r="O16" s="497"/>
      <c r="P16" s="497"/>
      <c r="Q16" s="497"/>
      <c r="R16" s="497"/>
      <c r="S16" s="497"/>
    </row>
    <row r="17" spans="1:19">
      <c r="A17" s="67" t="s">
        <v>209</v>
      </c>
      <c r="B17" s="540">
        <f>'1-Questionnaire'!C7</f>
        <v>0</v>
      </c>
      <c r="C17" s="540"/>
      <c r="D17" s="540"/>
      <c r="E17" s="540"/>
      <c r="F17" s="540"/>
      <c r="G17" s="540"/>
      <c r="H17" s="540"/>
      <c r="I17" s="541"/>
      <c r="J17" s="497"/>
      <c r="K17" s="497"/>
      <c r="L17" s="497"/>
      <c r="M17" s="497"/>
      <c r="N17" s="497"/>
      <c r="O17" s="497"/>
      <c r="P17" s="497"/>
      <c r="Q17" s="497"/>
      <c r="R17" s="497"/>
      <c r="S17" s="497"/>
    </row>
    <row r="18" spans="1:19" ht="14.25" customHeight="1">
      <c r="A18" s="13"/>
      <c r="I18" s="17"/>
      <c r="J18" s="497"/>
      <c r="K18" s="497"/>
      <c r="L18" s="497"/>
      <c r="M18" s="497"/>
      <c r="N18" s="497"/>
      <c r="O18" s="497"/>
      <c r="P18" s="497"/>
      <c r="Q18" s="497"/>
      <c r="R18" s="497"/>
      <c r="S18" s="497"/>
    </row>
    <row r="19" spans="1:19" ht="18" customHeight="1">
      <c r="A19" s="695" t="s">
        <v>210</v>
      </c>
      <c r="B19" s="695"/>
      <c r="C19" s="695"/>
      <c r="D19" s="695"/>
      <c r="E19" s="695"/>
      <c r="F19" s="695"/>
      <c r="G19" s="695"/>
      <c r="H19" s="695"/>
      <c r="I19" s="695"/>
      <c r="J19" s="497"/>
      <c r="K19" s="497"/>
      <c r="L19" s="497"/>
      <c r="M19" s="497"/>
      <c r="N19" s="497"/>
      <c r="O19" s="497"/>
      <c r="P19" s="497"/>
      <c r="Q19" s="497"/>
      <c r="R19" s="497"/>
      <c r="S19" s="497"/>
    </row>
    <row r="20" spans="1:19" ht="14.25" customHeight="1">
      <c r="A20" s="695"/>
      <c r="B20" s="695"/>
      <c r="C20" s="695"/>
      <c r="D20" s="695"/>
      <c r="E20" s="695"/>
      <c r="F20" s="695"/>
      <c r="G20" s="695"/>
      <c r="H20" s="695"/>
      <c r="I20" s="695"/>
      <c r="J20" s="497"/>
      <c r="K20" s="497"/>
      <c r="L20" s="497"/>
      <c r="M20" s="497"/>
      <c r="N20" s="497"/>
      <c r="O20" s="497"/>
      <c r="P20" s="497"/>
      <c r="Q20" s="497"/>
      <c r="R20" s="497"/>
      <c r="S20" s="497"/>
    </row>
    <row r="21" spans="1:19">
      <c r="A21" s="695"/>
      <c r="B21" s="695"/>
      <c r="C21" s="695"/>
      <c r="D21" s="695"/>
      <c r="E21" s="695"/>
      <c r="F21" s="695"/>
      <c r="G21" s="695"/>
      <c r="H21" s="695"/>
      <c r="I21" s="695"/>
      <c r="J21" s="497"/>
      <c r="K21" s="497"/>
      <c r="L21" s="497"/>
      <c r="M21" s="497"/>
      <c r="N21" s="497"/>
      <c r="O21" s="497"/>
      <c r="P21" s="497"/>
      <c r="Q21" s="497"/>
      <c r="R21" s="497"/>
      <c r="S21" s="497"/>
    </row>
    <row r="22" spans="1:19">
      <c r="A22" s="695"/>
      <c r="B22" s="695"/>
      <c r="C22" s="695"/>
      <c r="D22" s="695"/>
      <c r="E22" s="695"/>
      <c r="F22" s="695"/>
      <c r="G22" s="695"/>
      <c r="H22" s="695"/>
      <c r="I22" s="695"/>
      <c r="J22" s="497"/>
      <c r="K22" s="497"/>
      <c r="L22" s="497"/>
      <c r="M22" s="497"/>
      <c r="N22" s="497"/>
      <c r="O22" s="497"/>
      <c r="P22" s="497"/>
      <c r="Q22" s="497"/>
      <c r="R22" s="497"/>
      <c r="S22" s="497"/>
    </row>
    <row r="23" spans="1:19">
      <c r="A23" s="695"/>
      <c r="B23" s="695"/>
      <c r="C23" s="695"/>
      <c r="D23" s="695"/>
      <c r="E23" s="695"/>
      <c r="F23" s="695"/>
      <c r="G23" s="695"/>
      <c r="H23" s="695"/>
      <c r="I23" s="695"/>
      <c r="J23" s="497"/>
      <c r="K23" s="497"/>
      <c r="L23" s="497"/>
      <c r="M23" s="497"/>
      <c r="N23" s="497"/>
      <c r="O23" s="497"/>
      <c r="P23" s="497"/>
      <c r="Q23" s="497"/>
      <c r="R23" s="497"/>
      <c r="S23" s="497"/>
    </row>
    <row r="24" spans="1:19" ht="25.15" customHeight="1">
      <c r="A24" s="695"/>
      <c r="B24" s="695"/>
      <c r="C24" s="695"/>
      <c r="D24" s="695"/>
      <c r="E24" s="695"/>
      <c r="F24" s="695"/>
      <c r="G24" s="695"/>
      <c r="H24" s="695"/>
      <c r="I24" s="695"/>
      <c r="J24" s="497"/>
      <c r="K24" s="497"/>
      <c r="L24" s="497"/>
      <c r="M24" s="497"/>
      <c r="N24" s="497"/>
      <c r="O24" s="497"/>
      <c r="P24" s="497"/>
      <c r="Q24" s="497"/>
      <c r="R24" s="497"/>
      <c r="S24" s="497"/>
    </row>
    <row r="25" spans="1:19" ht="25.15" customHeight="1">
      <c r="A25" s="695"/>
      <c r="B25" s="695"/>
      <c r="C25" s="695"/>
      <c r="D25" s="695"/>
      <c r="E25" s="695"/>
      <c r="F25" s="695"/>
      <c r="G25" s="695"/>
      <c r="H25" s="695"/>
      <c r="I25" s="695"/>
      <c r="J25" s="497"/>
      <c r="K25" s="497"/>
      <c r="L25" s="497"/>
      <c r="M25" s="497"/>
      <c r="N25" s="497"/>
      <c r="O25" s="497"/>
      <c r="P25" s="497"/>
      <c r="Q25" s="497"/>
      <c r="R25" s="497"/>
      <c r="S25" s="497"/>
    </row>
    <row r="26" spans="1:19" ht="25.15" customHeight="1">
      <c r="A26" s="695"/>
      <c r="B26" s="695"/>
      <c r="C26" s="695"/>
      <c r="D26" s="695"/>
      <c r="E26" s="695"/>
      <c r="F26" s="695"/>
      <c r="G26" s="695"/>
      <c r="H26" s="695"/>
      <c r="I26" s="695"/>
      <c r="J26" s="497"/>
      <c r="K26" s="497"/>
      <c r="L26" s="497"/>
      <c r="M26" s="497"/>
      <c r="N26" s="497"/>
      <c r="O26" s="497"/>
      <c r="P26" s="497"/>
      <c r="Q26" s="497"/>
      <c r="R26" s="497"/>
      <c r="S26" s="497"/>
    </row>
    <row r="27" spans="1:19">
      <c r="A27" s="695"/>
      <c r="B27" s="695"/>
      <c r="C27" s="695"/>
      <c r="D27" s="695"/>
      <c r="E27" s="695"/>
      <c r="F27" s="695"/>
      <c r="G27" s="695"/>
      <c r="H27" s="695"/>
      <c r="I27" s="695"/>
      <c r="J27" s="497"/>
      <c r="K27" s="497"/>
      <c r="L27" s="497"/>
      <c r="M27" s="497"/>
      <c r="N27" s="497"/>
      <c r="O27" s="497"/>
      <c r="P27" s="497"/>
      <c r="Q27" s="497"/>
      <c r="R27" s="497"/>
      <c r="S27" s="497"/>
    </row>
    <row r="28" spans="1:19">
      <c r="A28" s="695"/>
      <c r="B28" s="695"/>
      <c r="C28" s="695"/>
      <c r="D28" s="695"/>
      <c r="E28" s="695"/>
      <c r="F28" s="695"/>
      <c r="G28" s="695"/>
      <c r="H28" s="695"/>
      <c r="I28" s="695"/>
      <c r="J28" s="497"/>
      <c r="K28" s="497"/>
      <c r="L28" s="497"/>
      <c r="M28" s="497"/>
      <c r="N28" s="497"/>
      <c r="O28" s="497"/>
      <c r="P28" s="497"/>
      <c r="Q28" s="497"/>
      <c r="R28" s="497"/>
      <c r="S28" s="497"/>
    </row>
    <row r="29" spans="1:19">
      <c r="A29" s="695"/>
      <c r="B29" s="695"/>
      <c r="C29" s="695"/>
      <c r="D29" s="695"/>
      <c r="E29" s="695"/>
      <c r="F29" s="695"/>
      <c r="G29" s="695"/>
      <c r="H29" s="695"/>
      <c r="I29" s="695"/>
      <c r="J29" s="497"/>
      <c r="K29" s="497"/>
      <c r="L29" s="497"/>
      <c r="M29" s="497"/>
      <c r="N29" s="497"/>
      <c r="O29" s="497"/>
      <c r="P29" s="497"/>
      <c r="Q29" s="497"/>
      <c r="R29" s="497"/>
      <c r="S29" s="497"/>
    </row>
    <row r="30" spans="1:19">
      <c r="A30" s="695"/>
      <c r="B30" s="695"/>
      <c r="C30" s="695"/>
      <c r="D30" s="695"/>
      <c r="E30" s="695"/>
      <c r="F30" s="695"/>
      <c r="G30" s="695"/>
      <c r="H30" s="695"/>
      <c r="I30" s="695"/>
      <c r="J30" s="497"/>
      <c r="K30" s="497"/>
      <c r="L30" s="497"/>
      <c r="M30" s="497"/>
      <c r="N30" s="497"/>
      <c r="O30" s="497"/>
      <c r="P30" s="497"/>
      <c r="Q30" s="497"/>
      <c r="R30" s="497"/>
      <c r="S30" s="497"/>
    </row>
    <row r="31" spans="1:19" ht="14.25" customHeight="1">
      <c r="A31" s="695"/>
      <c r="B31" s="695"/>
      <c r="C31" s="695"/>
      <c r="D31" s="695"/>
      <c r="E31" s="695"/>
      <c r="F31" s="695"/>
      <c r="G31" s="695"/>
      <c r="H31" s="695"/>
      <c r="I31" s="695"/>
      <c r="J31" s="690" t="s">
        <v>211</v>
      </c>
      <c r="K31" s="691"/>
      <c r="L31" s="691"/>
      <c r="M31" s="691"/>
      <c r="N31" s="691"/>
      <c r="O31" s="691"/>
      <c r="P31" s="691"/>
      <c r="Q31" s="691"/>
      <c r="R31" s="691"/>
      <c r="S31" s="691"/>
    </row>
    <row r="32" spans="1:19" ht="25.15" customHeight="1">
      <c r="A32" s="695"/>
      <c r="B32" s="695"/>
      <c r="C32" s="695"/>
      <c r="D32" s="695"/>
      <c r="E32" s="695"/>
      <c r="F32" s="695"/>
      <c r="G32" s="695"/>
      <c r="H32" s="695"/>
      <c r="I32" s="695"/>
      <c r="J32" s="436" t="s">
        <v>67</v>
      </c>
      <c r="K32" s="436"/>
      <c r="L32" s="436"/>
      <c r="M32" s="707">
        <f>B17</f>
        <v>0</v>
      </c>
      <c r="N32" s="708"/>
      <c r="O32" s="708"/>
      <c r="P32" s="708"/>
      <c r="Q32" s="708"/>
      <c r="R32" s="712" t="s">
        <v>212</v>
      </c>
      <c r="S32" s="713"/>
    </row>
    <row r="33" spans="1:19" ht="14.25" customHeight="1">
      <c r="A33" s="695"/>
      <c r="B33" s="695"/>
      <c r="C33" s="695"/>
      <c r="D33" s="695"/>
      <c r="E33" s="695"/>
      <c r="F33" s="695"/>
      <c r="G33" s="695"/>
      <c r="H33" s="695"/>
      <c r="I33" s="695"/>
      <c r="J33" s="436"/>
      <c r="K33" s="436"/>
      <c r="L33" s="436"/>
      <c r="M33" s="709"/>
      <c r="N33" s="696"/>
      <c r="O33" s="696"/>
      <c r="P33" s="696"/>
      <c r="Q33" s="696"/>
      <c r="R33" s="714"/>
      <c r="S33" s="715"/>
    </row>
    <row r="34" spans="1:19">
      <c r="A34" s="695"/>
      <c r="B34" s="695"/>
      <c r="C34" s="695"/>
      <c r="D34" s="695"/>
      <c r="E34" s="695"/>
      <c r="F34" s="695"/>
      <c r="G34" s="695"/>
      <c r="H34" s="695"/>
      <c r="I34" s="695"/>
      <c r="J34" s="436" t="s">
        <v>213</v>
      </c>
      <c r="K34" s="436"/>
      <c r="L34" s="436"/>
      <c r="M34" s="697"/>
      <c r="N34" s="698"/>
      <c r="O34" s="698"/>
      <c r="P34" s="699"/>
      <c r="Q34" s="703" t="s">
        <v>70</v>
      </c>
      <c r="R34" s="704"/>
      <c r="S34" s="704"/>
    </row>
    <row r="35" spans="1:19" ht="14.25" customHeight="1">
      <c r="A35" s="696"/>
      <c r="B35" s="696"/>
      <c r="C35" s="696"/>
      <c r="D35" s="696"/>
      <c r="E35" s="696"/>
      <c r="F35" s="696"/>
      <c r="G35" s="696"/>
      <c r="H35" s="696"/>
      <c r="I35" s="696"/>
      <c r="J35" s="436"/>
      <c r="K35" s="436"/>
      <c r="L35" s="436"/>
      <c r="M35" s="700"/>
      <c r="N35" s="701"/>
      <c r="O35" s="701"/>
      <c r="P35" s="702"/>
      <c r="Q35" s="703"/>
      <c r="R35" s="704"/>
      <c r="S35" s="704"/>
    </row>
    <row r="36" spans="1:19">
      <c r="A36" s="710" t="s">
        <v>214</v>
      </c>
      <c r="B36" s="710"/>
      <c r="C36" s="710"/>
      <c r="D36" s="710"/>
      <c r="E36" s="710"/>
      <c r="F36" s="710"/>
      <c r="G36" s="711">
        <f>'1-Questionnaire'!R22</f>
        <v>0</v>
      </c>
      <c r="H36" s="711"/>
      <c r="I36" s="711"/>
      <c r="J36" s="710" t="s">
        <v>214</v>
      </c>
      <c r="K36" s="710"/>
      <c r="L36" s="710"/>
      <c r="M36" s="710"/>
      <c r="N36" s="710"/>
      <c r="O36" s="710"/>
      <c r="P36" s="710"/>
      <c r="Q36" s="711">
        <f>G36</f>
        <v>0</v>
      </c>
      <c r="R36" s="711"/>
      <c r="S36" s="711"/>
    </row>
  </sheetData>
  <sheetProtection algorithmName="SHA-512" hashValue="MN+zjkXp8A7bVQwQHT31RYXKRHSvALbQnh6L6wFHZJcOiHKBLwMEzQHTnpQ1QU1BXavG/fgi+e4Onq53lCDRkg==" saltValue="TNma9gLN5NflzeViZxOBdQ==" spinCount="100000" sheet="1" formatCells="0" formatColumns="0" formatRows="0" selectLockedCells="1"/>
  <dataConsolidate function="varp">
    <dataRefs count="1">
      <dataRef ref="C1:C1048576" sheet="Classification" r:id="rId1"/>
    </dataRefs>
  </dataConsolidate>
  <mergeCells count="58">
    <mergeCell ref="D14:E15"/>
    <mergeCell ref="F14:G15"/>
    <mergeCell ref="J36:P36"/>
    <mergeCell ref="Q36:S36"/>
    <mergeCell ref="A36:F36"/>
    <mergeCell ref="G36:I36"/>
    <mergeCell ref="R32:S33"/>
    <mergeCell ref="H10:I10"/>
    <mergeCell ref="J32:L33"/>
    <mergeCell ref="J13:S30"/>
    <mergeCell ref="J31:S31"/>
    <mergeCell ref="K11:O11"/>
    <mergeCell ref="J12:R12"/>
    <mergeCell ref="A19:I35"/>
    <mergeCell ref="J34:L35"/>
    <mergeCell ref="M34:P35"/>
    <mergeCell ref="Q34:Q35"/>
    <mergeCell ref="R34:S35"/>
    <mergeCell ref="B17:I17"/>
    <mergeCell ref="H11:I12"/>
    <mergeCell ref="D12:E13"/>
    <mergeCell ref="M32:Q33"/>
    <mergeCell ref="F12:G13"/>
    <mergeCell ref="A6:B6"/>
    <mergeCell ref="A7:B7"/>
    <mergeCell ref="A14:B15"/>
    <mergeCell ref="C14:C15"/>
    <mergeCell ref="A10:B10"/>
    <mergeCell ref="A11:B11"/>
    <mergeCell ref="A12:B13"/>
    <mergeCell ref="C12:C13"/>
    <mergeCell ref="H6:I6"/>
    <mergeCell ref="C6:F6"/>
    <mergeCell ref="H7:I7"/>
    <mergeCell ref="C7:F7"/>
    <mergeCell ref="H8:I8"/>
    <mergeCell ref="J4:S4"/>
    <mergeCell ref="C10:F10"/>
    <mergeCell ref="J1:M3"/>
    <mergeCell ref="R1:S1"/>
    <mergeCell ref="Q2:S2"/>
    <mergeCell ref="Q3:S3"/>
    <mergeCell ref="A4:I4"/>
    <mergeCell ref="A1:D3"/>
    <mergeCell ref="H1:I1"/>
    <mergeCell ref="G2:I2"/>
    <mergeCell ref="G3:I3"/>
    <mergeCell ref="H9:I9"/>
    <mergeCell ref="A8:B8"/>
    <mergeCell ref="C8:F8"/>
    <mergeCell ref="A9:B9"/>
    <mergeCell ref="C9:F9"/>
    <mergeCell ref="J6:O6"/>
    <mergeCell ref="J10:O10"/>
    <mergeCell ref="J8:O8"/>
    <mergeCell ref="J9:O9"/>
    <mergeCell ref="J7:L7"/>
    <mergeCell ref="M7:O7"/>
  </mergeCells>
  <conditionalFormatting sqref="R9:R10">
    <cfRule type="cellIs" dxfId="50" priority="2" operator="greaterThan">
      <formula>0.1</formula>
    </cfRule>
  </conditionalFormatting>
  <conditionalFormatting sqref="R32:S33">
    <cfRule type="containsText" dxfId="49" priority="1" operator="containsText" text="Create Contract">
      <formula>NOT(ISERROR(SEARCH("Create Contract",R32)))</formula>
    </cfRule>
  </conditionalFormatting>
  <dataValidations xWindow="2526" yWindow="890" count="9">
    <dataValidation allowBlank="1" showInputMessage="1" showErrorMessage="1" promptTitle="E.N.P." prompt="Effective Number of Employees" sqref="I15" xr:uid="{00000000-0002-0000-0500-000000000000}"/>
    <dataValidation allowBlank="1" showInputMessage="1" showErrorMessage="1" promptTitle="T.N.E." prompt="Total Number of Employees" sqref="I14" xr:uid="{00000000-0002-0000-0500-000001000000}"/>
    <dataValidation type="whole" operator="greaterThanOrEqual" allowBlank="1" showInputMessage="1" showErrorMessage="1" sqref="E11" xr:uid="{00000000-0002-0000-0500-000002000000}">
      <formula1>1</formula1>
    </dataValidation>
    <dataValidation type="whole" allowBlank="1" showInputMessage="1" showErrorMessage="1" sqref="G11" xr:uid="{00000000-0002-0000-0500-000003000000}">
      <formula1>1</formula1>
      <formula2>12</formula2>
    </dataValidation>
    <dataValidation allowBlank="1" showInputMessage="1" showErrorMessage="1" prompt="If you've more than one manufacturing site, please complete the details in the multi-site worksheet" sqref="C8" xr:uid="{00000000-0002-0000-0500-000004000000}"/>
    <dataValidation allowBlank="1" showInputMessage="1" showErrorMessage="1" prompt="Permanent Physical Site (PPS)_x000a_Permanent Virtual Site (PVS)_x000a_Temporary Physical Site (TPS)_x000a_Temporary Virtual Site (TPS)" sqref="H8:I8" xr:uid="{00000000-0002-0000-0500-000005000000}"/>
    <dataValidation type="list" allowBlank="1" showInputMessage="1" showErrorMessage="1" sqref="R32:S33" xr:uid="{00000000-0002-0000-0500-000006000000}">
      <formula1>"Create Contract"</formula1>
    </dataValidation>
    <dataValidation type="list" allowBlank="1" showInputMessage="1" showErrorMessage="1" sqref="J13:S30" xr:uid="{00000000-0002-0000-0500-000007000000}">
      <formula1>"Registration &amp; Audit Fee, Scope Extension Fee, Other"</formula1>
    </dataValidation>
    <dataValidation type="list" allowBlank="1" showInputMessage="1" showErrorMessage="1" sqref="M7:O7" xr:uid="{00000000-0002-0000-0500-000008000000}">
      <formula1>"for Initializing Cert, for Surv. I Trans Cert, for Surv. II Trans Cert, for Recert.Trans Cert, for Scope Extension, for Surv.I Trans Cert+Scope Ext.,for Surv.II Trans Cert+Scope Ext.,for Others"</formula1>
    </dataValidation>
  </dataValidations>
  <hyperlinks>
    <hyperlink ref="R32:S33" location="'4-Contract'!A1" display="Create Contract" xr:uid="{00000000-0004-0000-0500-000000000000}"/>
  </hyperlinks>
  <pageMargins left="0.7" right="0.7" top="0.75" bottom="0.75" header="0.3" footer="0.3"/>
  <pageSetup orientation="portrait" horizontalDpi="300" verticalDpi="3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U284"/>
  <sheetViews>
    <sheetView showGridLines="0" zoomScaleNormal="100" zoomScaleSheetLayoutView="100" workbookViewId="0">
      <selection activeCell="A239" sqref="A239:I247"/>
    </sheetView>
  </sheetViews>
  <sheetFormatPr defaultRowHeight="15"/>
  <cols>
    <col min="2" max="2" width="12.42578125" customWidth="1"/>
    <col min="4" max="4" width="10.42578125" customWidth="1"/>
    <col min="5" max="5" width="8.140625" customWidth="1"/>
    <col min="6" max="6" width="10" customWidth="1"/>
    <col min="7" max="7" width="8.42578125" customWidth="1"/>
    <col min="8" max="8" width="10.5703125" customWidth="1"/>
    <col min="10" max="10" width="9" hidden="1" customWidth="1"/>
    <col min="14" max="15" width="9" customWidth="1"/>
    <col min="18" max="18" width="8.140625" customWidth="1"/>
    <col min="19" max="19" width="9" customWidth="1"/>
    <col min="20" max="20" width="0" hidden="1" customWidth="1"/>
    <col min="21" max="21" width="6.140625" customWidth="1"/>
  </cols>
  <sheetData>
    <row r="1" spans="1:21" ht="14.25" customHeight="1">
      <c r="A1" s="404" t="s">
        <v>1</v>
      </c>
      <c r="B1" s="404"/>
      <c r="C1" s="404"/>
      <c r="D1" s="404"/>
      <c r="E1" s="20"/>
      <c r="F1" s="20"/>
      <c r="G1" s="20"/>
      <c r="H1" s="405" t="s">
        <v>215</v>
      </c>
      <c r="I1" s="405"/>
      <c r="J1" s="404" t="s">
        <v>3</v>
      </c>
      <c r="K1" s="404"/>
      <c r="L1" s="404"/>
      <c r="M1" s="404"/>
      <c r="N1" s="404"/>
      <c r="Q1" s="20"/>
      <c r="R1" s="405" t="s">
        <v>215</v>
      </c>
      <c r="S1" s="405"/>
      <c r="T1" s="405"/>
      <c r="U1" s="405"/>
    </row>
    <row r="2" spans="1:21" ht="14.25" customHeight="1">
      <c r="A2" s="404"/>
      <c r="B2" s="404"/>
      <c r="C2" s="404"/>
      <c r="D2" s="404"/>
      <c r="E2" s="20"/>
      <c r="F2" s="20"/>
      <c r="G2" s="405" t="s">
        <v>216</v>
      </c>
      <c r="H2" s="405"/>
      <c r="I2" s="405"/>
      <c r="J2" s="404"/>
      <c r="K2" s="404"/>
      <c r="L2" s="404"/>
      <c r="M2" s="404"/>
      <c r="N2" s="404"/>
      <c r="P2" s="405" t="s">
        <v>217</v>
      </c>
      <c r="Q2" s="405"/>
      <c r="R2" s="405"/>
      <c r="S2" s="405"/>
      <c r="T2" s="405"/>
      <c r="U2" s="405"/>
    </row>
    <row r="3" spans="1:21" ht="14.25" customHeight="1">
      <c r="A3" s="404"/>
      <c r="B3" s="404"/>
      <c r="C3" s="404"/>
      <c r="D3" s="404"/>
      <c r="E3" s="20"/>
      <c r="F3" s="20"/>
      <c r="G3" s="547" t="s">
        <v>1091</v>
      </c>
      <c r="H3" s="547"/>
      <c r="I3" s="547"/>
      <c r="J3" s="404"/>
      <c r="K3" s="404"/>
      <c r="L3" s="404"/>
      <c r="M3" s="404"/>
      <c r="N3" s="404"/>
      <c r="Q3" s="547" t="s">
        <v>1091</v>
      </c>
      <c r="R3" s="547"/>
      <c r="S3" s="547"/>
      <c r="T3" s="547"/>
      <c r="U3" s="547"/>
    </row>
    <row r="4" spans="1:21" ht="14.25" customHeight="1">
      <c r="A4" s="690" t="s">
        <v>218</v>
      </c>
      <c r="B4" s="691"/>
      <c r="C4" s="691"/>
      <c r="D4" s="691"/>
      <c r="E4" s="691"/>
      <c r="F4" s="691"/>
      <c r="G4" s="691"/>
      <c r="H4" s="691"/>
      <c r="I4" s="691"/>
      <c r="K4" s="539" t="s">
        <v>219</v>
      </c>
      <c r="L4" s="540"/>
      <c r="M4" s="540"/>
      <c r="N4" s="540"/>
      <c r="O4" s="540"/>
      <c r="P4" s="540"/>
      <c r="Q4" s="540"/>
      <c r="R4" s="540"/>
      <c r="S4" s="540"/>
      <c r="T4" s="540"/>
      <c r="U4" s="540"/>
    </row>
    <row r="5" spans="1:21" ht="14.25" customHeight="1">
      <c r="A5" s="10"/>
      <c r="B5" s="10"/>
      <c r="C5" s="10"/>
      <c r="D5" s="10"/>
      <c r="E5" s="10"/>
      <c r="F5" s="10"/>
      <c r="G5" s="10"/>
      <c r="H5" s="10"/>
      <c r="I5" s="10"/>
      <c r="K5" s="695" t="s">
        <v>220</v>
      </c>
      <c r="L5" s="695"/>
      <c r="M5" s="695"/>
      <c r="N5" s="695"/>
      <c r="O5" s="695"/>
      <c r="P5" s="695"/>
      <c r="Q5" s="695"/>
      <c r="R5" s="695"/>
      <c r="S5" s="695"/>
      <c r="T5" s="695"/>
      <c r="U5" s="695"/>
    </row>
    <row r="6" spans="1:21">
      <c r="K6" s="695"/>
      <c r="L6" s="695"/>
      <c r="M6" s="695"/>
      <c r="N6" s="695"/>
      <c r="O6" s="695"/>
      <c r="P6" s="695"/>
      <c r="Q6" s="695"/>
      <c r="R6" s="695"/>
      <c r="S6" s="695"/>
      <c r="T6" s="695"/>
      <c r="U6" s="695"/>
    </row>
    <row r="7" spans="1:21">
      <c r="A7" s="736" t="s">
        <v>221</v>
      </c>
      <c r="B7" s="736"/>
      <c r="C7" s="737">
        <f>'1-Questionnaire'!R22</f>
        <v>0</v>
      </c>
      <c r="D7" s="737"/>
      <c r="F7" s="736" t="s">
        <v>222</v>
      </c>
      <c r="G7" s="736"/>
      <c r="H7" s="734" t="s">
        <v>1073</v>
      </c>
      <c r="I7" s="734"/>
      <c r="K7" s="695"/>
      <c r="L7" s="695"/>
      <c r="M7" s="695"/>
      <c r="N7" s="695"/>
      <c r="O7" s="695"/>
      <c r="P7" s="695"/>
      <c r="Q7" s="695"/>
      <c r="R7" s="695"/>
      <c r="S7" s="695"/>
      <c r="T7" s="695"/>
      <c r="U7" s="695"/>
    </row>
    <row r="8" spans="1:21">
      <c r="A8" s="273"/>
      <c r="B8" s="273"/>
      <c r="C8" s="7"/>
      <c r="D8" s="7"/>
      <c r="F8" s="736" t="s">
        <v>223</v>
      </c>
      <c r="G8" s="736"/>
      <c r="H8" s="741"/>
      <c r="I8" s="741"/>
      <c r="K8" s="695"/>
      <c r="L8" s="695"/>
      <c r="M8" s="695"/>
      <c r="N8" s="695"/>
      <c r="O8" s="695"/>
      <c r="P8" s="695"/>
      <c r="Q8" s="695"/>
      <c r="R8" s="695"/>
      <c r="S8" s="695"/>
      <c r="T8" s="695"/>
      <c r="U8" s="695"/>
    </row>
    <row r="9" spans="1:21">
      <c r="K9" s="539" t="s">
        <v>224</v>
      </c>
      <c r="L9" s="540"/>
      <c r="M9" s="540"/>
      <c r="N9" s="540"/>
      <c r="O9" s="540"/>
      <c r="P9" s="540"/>
      <c r="Q9" s="540"/>
      <c r="R9" s="540"/>
      <c r="S9" s="540"/>
      <c r="T9" s="540"/>
      <c r="U9" s="540"/>
    </row>
    <row r="10" spans="1:21" ht="14.25" customHeight="1">
      <c r="A10" s="720" t="s">
        <v>225</v>
      </c>
      <c r="B10" s="720"/>
      <c r="C10" s="720"/>
      <c r="D10" s="720"/>
      <c r="E10" s="720"/>
      <c r="F10" s="720"/>
      <c r="G10" s="720"/>
      <c r="H10" s="720"/>
      <c r="I10" s="720"/>
      <c r="J10" s="275"/>
      <c r="K10" s="695" t="s">
        <v>226</v>
      </c>
      <c r="L10" s="695"/>
      <c r="M10" s="695"/>
      <c r="N10" s="695"/>
      <c r="O10" s="695"/>
      <c r="P10" s="695"/>
      <c r="Q10" s="695"/>
      <c r="R10" s="695"/>
      <c r="S10" s="695"/>
      <c r="T10" s="695"/>
      <c r="U10" s="695"/>
    </row>
    <row r="11" spans="1:21">
      <c r="A11" s="720"/>
      <c r="B11" s="720"/>
      <c r="C11" s="720"/>
      <c r="D11" s="720"/>
      <c r="E11" s="720"/>
      <c r="F11" s="720"/>
      <c r="G11" s="720"/>
      <c r="H11" s="720"/>
      <c r="I11" s="720"/>
      <c r="J11" s="275"/>
      <c r="K11" s="695"/>
      <c r="L11" s="695"/>
      <c r="M11" s="695"/>
      <c r="N11" s="695"/>
      <c r="O11" s="695"/>
      <c r="P11" s="695"/>
      <c r="Q11" s="695"/>
      <c r="R11" s="695"/>
      <c r="S11" s="695"/>
      <c r="T11" s="695"/>
      <c r="U11" s="695"/>
    </row>
    <row r="12" spans="1:21">
      <c r="J12" s="275"/>
      <c r="K12" s="695"/>
      <c r="L12" s="695"/>
      <c r="M12" s="695"/>
      <c r="N12" s="695"/>
      <c r="O12" s="695"/>
      <c r="P12" s="695"/>
      <c r="Q12" s="695"/>
      <c r="R12" s="695"/>
      <c r="S12" s="695"/>
      <c r="T12" s="695"/>
      <c r="U12" s="695"/>
    </row>
    <row r="13" spans="1:21">
      <c r="A13" s="57"/>
      <c r="B13" s="57"/>
      <c r="D13" s="738" t="s">
        <v>227</v>
      </c>
      <c r="E13" s="739"/>
      <c r="F13" s="739"/>
      <c r="J13" s="275"/>
      <c r="K13" s="695"/>
      <c r="L13" s="695"/>
      <c r="M13" s="695"/>
      <c r="N13" s="695"/>
      <c r="O13" s="695"/>
      <c r="P13" s="695"/>
      <c r="Q13" s="695"/>
      <c r="R13" s="695"/>
      <c r="S13" s="695"/>
      <c r="T13" s="695"/>
      <c r="U13" s="695"/>
    </row>
    <row r="14" spans="1:21" ht="14.25" customHeight="1">
      <c r="D14" s="739"/>
      <c r="E14" s="739"/>
      <c r="F14" s="739"/>
      <c r="J14" s="275"/>
      <c r="K14" s="695"/>
      <c r="L14" s="695"/>
      <c r="M14" s="695"/>
      <c r="N14" s="695"/>
      <c r="O14" s="695"/>
      <c r="P14" s="695"/>
      <c r="Q14" s="695"/>
      <c r="R14" s="695"/>
      <c r="S14" s="695"/>
      <c r="T14" s="695"/>
      <c r="U14" s="695"/>
    </row>
    <row r="15" spans="1:21" ht="14.25" customHeight="1">
      <c r="D15" s="739"/>
      <c r="E15" s="739"/>
      <c r="F15" s="739"/>
      <c r="J15" s="275"/>
      <c r="K15" s="695"/>
      <c r="L15" s="695"/>
      <c r="M15" s="695"/>
      <c r="N15" s="695"/>
      <c r="O15" s="695"/>
      <c r="P15" s="695"/>
      <c r="Q15" s="695"/>
      <c r="R15" s="695"/>
      <c r="S15" s="695"/>
      <c r="T15" s="695"/>
      <c r="U15" s="695"/>
    </row>
    <row r="16" spans="1:21" ht="14.25" customHeight="1">
      <c r="D16" s="740" t="s">
        <v>228</v>
      </c>
      <c r="E16" s="740"/>
      <c r="F16" s="740"/>
      <c r="K16" s="695"/>
      <c r="L16" s="695"/>
      <c r="M16" s="695"/>
      <c r="N16" s="695"/>
      <c r="O16" s="695"/>
      <c r="P16" s="695"/>
      <c r="Q16" s="695"/>
      <c r="R16" s="695"/>
      <c r="S16" s="695"/>
      <c r="T16" s="695"/>
      <c r="U16" s="695"/>
    </row>
    <row r="17" spans="1:21">
      <c r="D17" s="740"/>
      <c r="E17" s="740"/>
      <c r="F17" s="740"/>
      <c r="K17" s="539" t="s">
        <v>229</v>
      </c>
      <c r="L17" s="540"/>
      <c r="M17" s="540"/>
      <c r="N17" s="540"/>
      <c r="O17" s="540"/>
      <c r="P17" s="540"/>
      <c r="Q17" s="540"/>
      <c r="R17" s="540"/>
      <c r="S17" s="540"/>
      <c r="T17" s="540"/>
      <c r="U17" s="540"/>
    </row>
    <row r="18" spans="1:21" ht="14.25" customHeight="1">
      <c r="E18" s="1" t="s">
        <v>230</v>
      </c>
      <c r="K18" s="695" t="s">
        <v>231</v>
      </c>
      <c r="L18" s="695"/>
      <c r="M18" s="695"/>
      <c r="N18" s="695"/>
      <c r="O18" s="695"/>
      <c r="P18" s="695"/>
      <c r="Q18" s="695"/>
      <c r="R18" s="695"/>
      <c r="S18" s="695"/>
      <c r="T18" s="695"/>
      <c r="U18" s="695"/>
    </row>
    <row r="19" spans="1:21">
      <c r="B19" s="747">
        <f>'1-Questionnaire'!C5</f>
        <v>0</v>
      </c>
      <c r="C19" s="747"/>
      <c r="D19" s="747"/>
      <c r="E19" s="747"/>
      <c r="F19" s="747"/>
      <c r="G19" s="747"/>
      <c r="H19" s="747"/>
      <c r="K19" s="695"/>
      <c r="L19" s="695"/>
      <c r="M19" s="695"/>
      <c r="N19" s="695"/>
      <c r="O19" s="695"/>
      <c r="P19" s="695"/>
      <c r="Q19" s="695"/>
      <c r="R19" s="695"/>
      <c r="S19" s="695"/>
      <c r="T19" s="695"/>
      <c r="U19" s="695"/>
    </row>
    <row r="20" spans="1:21">
      <c r="B20" s="747"/>
      <c r="C20" s="747"/>
      <c r="D20" s="747"/>
      <c r="E20" s="747"/>
      <c r="F20" s="747"/>
      <c r="G20" s="747"/>
      <c r="H20" s="747"/>
      <c r="K20" s="695"/>
      <c r="L20" s="695"/>
      <c r="M20" s="695"/>
      <c r="N20" s="695"/>
      <c r="O20" s="695"/>
      <c r="P20" s="695"/>
      <c r="Q20" s="695"/>
      <c r="R20" s="695"/>
      <c r="S20" s="695"/>
      <c r="T20" s="695"/>
      <c r="U20" s="695"/>
    </row>
    <row r="21" spans="1:21">
      <c r="K21" s="695"/>
      <c r="L21" s="695"/>
      <c r="M21" s="695"/>
      <c r="N21" s="695"/>
      <c r="O21" s="695"/>
      <c r="P21" s="695"/>
      <c r="Q21" s="695"/>
      <c r="R21" s="695"/>
      <c r="S21" s="695"/>
      <c r="T21" s="695"/>
      <c r="U21" s="695"/>
    </row>
    <row r="22" spans="1:21" ht="14.25" customHeight="1">
      <c r="A22" s="716" t="s">
        <v>232</v>
      </c>
      <c r="B22" s="716"/>
      <c r="C22" s="716"/>
      <c r="D22" s="716"/>
      <c r="E22" s="716"/>
      <c r="F22" s="716"/>
      <c r="G22" s="716"/>
      <c r="H22" s="716"/>
      <c r="I22" s="716"/>
      <c r="U22" s="275"/>
    </row>
    <row r="23" spans="1:21" ht="14.25" customHeight="1">
      <c r="A23" s="716"/>
      <c r="B23" s="716"/>
      <c r="C23" s="716"/>
      <c r="D23" s="716"/>
      <c r="E23" s="716"/>
      <c r="F23" s="716"/>
      <c r="G23" s="716"/>
      <c r="H23" s="716"/>
      <c r="I23" s="716"/>
      <c r="K23" s="62"/>
      <c r="L23" s="748" t="s">
        <v>233</v>
      </c>
      <c r="M23" s="748"/>
      <c r="N23" s="748"/>
      <c r="O23" s="748"/>
      <c r="P23" s="748"/>
      <c r="Q23" s="748"/>
      <c r="R23" s="748"/>
      <c r="S23" s="748"/>
      <c r="T23" s="62"/>
      <c r="U23" s="62"/>
    </row>
    <row r="24" spans="1:21">
      <c r="A24" s="58"/>
      <c r="B24" s="58"/>
      <c r="C24" s="58"/>
      <c r="D24" s="58"/>
      <c r="E24" s="58"/>
      <c r="F24" s="58"/>
      <c r="G24" s="58"/>
      <c r="H24" s="58"/>
      <c r="I24" s="58"/>
      <c r="K24" s="62"/>
      <c r="L24" s="748"/>
      <c r="M24" s="748"/>
      <c r="N24" s="748"/>
      <c r="O24" s="748"/>
      <c r="P24" s="748"/>
      <c r="Q24" s="748"/>
      <c r="R24" s="748"/>
      <c r="S24" s="748"/>
      <c r="T24" s="62"/>
      <c r="U24" s="62"/>
    </row>
    <row r="25" spans="1:21">
      <c r="A25" s="742">
        <f>'1-Questionnaire'!C5</f>
        <v>0</v>
      </c>
      <c r="B25" s="742"/>
      <c r="C25" s="742"/>
      <c r="K25" s="62"/>
      <c r="L25" s="748"/>
      <c r="M25" s="748"/>
      <c r="N25" s="748"/>
      <c r="O25" s="748"/>
      <c r="P25" s="748"/>
      <c r="Q25" s="748"/>
      <c r="R25" s="748"/>
      <c r="S25" s="748"/>
      <c r="T25" s="62"/>
      <c r="U25" s="62"/>
    </row>
    <row r="26" spans="1:21">
      <c r="A26" s="742"/>
      <c r="B26" s="742"/>
      <c r="C26" s="742"/>
      <c r="L26" s="748"/>
      <c r="M26" s="748"/>
      <c r="N26" s="748"/>
      <c r="O26" s="748"/>
      <c r="P26" s="748"/>
      <c r="Q26" s="748"/>
      <c r="R26" s="748"/>
      <c r="S26" s="748"/>
      <c r="U26" s="275"/>
    </row>
    <row r="27" spans="1:21" ht="14.25" customHeight="1">
      <c r="A27" s="742">
        <f>'1-Questionnaire'!C6</f>
        <v>0</v>
      </c>
      <c r="B27" s="742"/>
      <c r="C27" s="742"/>
      <c r="L27" s="695" t="s">
        <v>234</v>
      </c>
      <c r="M27" s="695"/>
      <c r="N27" s="695"/>
      <c r="O27" s="695"/>
      <c r="P27" s="695"/>
      <c r="Q27" s="695"/>
      <c r="U27" s="275"/>
    </row>
    <row r="28" spans="1:21">
      <c r="A28" s="742"/>
      <c r="B28" s="742"/>
      <c r="C28" s="742"/>
      <c r="L28" s="695"/>
      <c r="M28" s="695"/>
      <c r="N28" s="695"/>
      <c r="O28" s="695"/>
      <c r="P28" s="695"/>
      <c r="Q28" s="695"/>
      <c r="U28" s="275"/>
    </row>
    <row r="29" spans="1:21">
      <c r="A29" s="742" t="str">
        <f>'1-Questionnaire'!I6</f>
        <v>Egypt</v>
      </c>
      <c r="B29" s="742"/>
      <c r="C29" s="742"/>
      <c r="L29" s="695"/>
      <c r="M29" s="695"/>
      <c r="N29" s="695"/>
      <c r="O29" s="695"/>
      <c r="P29" s="695"/>
      <c r="Q29" s="695"/>
      <c r="U29" s="275"/>
    </row>
    <row r="30" spans="1:21">
      <c r="A30" s="272"/>
      <c r="B30" s="272"/>
      <c r="C30" s="272"/>
      <c r="L30" s="695"/>
      <c r="M30" s="695"/>
      <c r="N30" s="695"/>
      <c r="O30" s="695"/>
      <c r="P30" s="695"/>
      <c r="Q30" s="695"/>
      <c r="U30" s="275"/>
    </row>
    <row r="31" spans="1:21">
      <c r="A31" s="742" t="str">
        <f>'1-Questionnaire'!C8</f>
        <v>Tel:</v>
      </c>
      <c r="B31" s="742"/>
      <c r="C31" s="742"/>
      <c r="U31" s="275"/>
    </row>
    <row r="32" spans="1:21" ht="14.25" customHeight="1">
      <c r="A32" s="742" t="str">
        <f>'1-Questionnaire'!E8</f>
        <v>Fax:</v>
      </c>
      <c r="B32" s="742"/>
      <c r="C32" s="742"/>
      <c r="K32" s="695" t="s">
        <v>235</v>
      </c>
      <c r="L32" s="695"/>
      <c r="M32" s="695"/>
      <c r="N32" s="695"/>
      <c r="O32" s="695"/>
      <c r="P32" s="695"/>
      <c r="Q32" s="695"/>
      <c r="R32" s="695"/>
      <c r="S32" s="695"/>
      <c r="T32" s="695"/>
      <c r="U32" s="695"/>
    </row>
    <row r="33" spans="1:21">
      <c r="A33" s="742" t="str">
        <f>'1-Questionnaire'!G8</f>
        <v>E-mail:</v>
      </c>
      <c r="B33" s="742"/>
      <c r="C33" s="742"/>
      <c r="K33" s="695"/>
      <c r="L33" s="695"/>
      <c r="M33" s="695"/>
      <c r="N33" s="695"/>
      <c r="O33" s="695"/>
      <c r="P33" s="695"/>
      <c r="Q33" s="695"/>
      <c r="R33" s="695"/>
      <c r="S33" s="695"/>
      <c r="T33" s="695"/>
      <c r="U33" s="695"/>
    </row>
    <row r="34" spans="1:21">
      <c r="A34" s="744" t="s">
        <v>236</v>
      </c>
      <c r="B34" s="744"/>
      <c r="C34" s="744"/>
      <c r="K34" s="695"/>
      <c r="L34" s="695"/>
      <c r="M34" s="695"/>
      <c r="N34" s="695"/>
      <c r="O34" s="695"/>
      <c r="P34" s="695"/>
      <c r="Q34" s="695"/>
      <c r="R34" s="695"/>
      <c r="S34" s="695"/>
      <c r="T34" s="695"/>
      <c r="U34" s="695"/>
    </row>
    <row r="35" spans="1:21">
      <c r="A35" s="716" t="s">
        <v>237</v>
      </c>
      <c r="B35" s="716"/>
      <c r="C35" s="716"/>
      <c r="D35" s="716"/>
      <c r="E35" s="716"/>
      <c r="F35" s="716"/>
      <c r="G35" s="716"/>
      <c r="H35" s="716"/>
      <c r="I35" s="716"/>
      <c r="K35" s="695"/>
      <c r="L35" s="695"/>
      <c r="M35" s="695"/>
      <c r="N35" s="695"/>
      <c r="O35" s="695"/>
      <c r="P35" s="695"/>
      <c r="Q35" s="695"/>
      <c r="R35" s="695"/>
      <c r="S35" s="695"/>
      <c r="T35" s="695"/>
      <c r="U35" s="695"/>
    </row>
    <row r="36" spans="1:21">
      <c r="A36" s="716"/>
      <c r="B36" s="716"/>
      <c r="C36" s="716"/>
      <c r="D36" s="716"/>
      <c r="E36" s="716"/>
      <c r="F36" s="716"/>
      <c r="G36" s="716"/>
      <c r="H36" s="716"/>
      <c r="I36" s="716"/>
      <c r="K36" s="695"/>
      <c r="L36" s="695"/>
      <c r="M36" s="695"/>
      <c r="N36" s="695"/>
      <c r="O36" s="695"/>
      <c r="P36" s="695"/>
      <c r="Q36" s="695"/>
      <c r="R36" s="695"/>
      <c r="S36" s="695"/>
      <c r="T36" s="695"/>
      <c r="U36" s="695"/>
    </row>
    <row r="37" spans="1:21">
      <c r="A37" s="716"/>
      <c r="B37" s="716"/>
      <c r="C37" s="716"/>
      <c r="D37" s="716"/>
      <c r="E37" s="716"/>
      <c r="F37" s="716"/>
      <c r="G37" s="716"/>
      <c r="H37" s="716"/>
      <c r="I37" s="716"/>
      <c r="K37" s="695"/>
      <c r="L37" s="695"/>
      <c r="M37" s="695"/>
      <c r="N37" s="695"/>
      <c r="O37" s="695"/>
      <c r="P37" s="695"/>
      <c r="Q37" s="695"/>
      <c r="R37" s="695"/>
      <c r="S37" s="695"/>
      <c r="T37" s="695"/>
      <c r="U37" s="695"/>
    </row>
    <row r="38" spans="1:21">
      <c r="U38" s="275"/>
    </row>
    <row r="39" spans="1:21">
      <c r="K39" s="539" t="s">
        <v>238</v>
      </c>
      <c r="L39" s="540"/>
      <c r="M39" s="540"/>
      <c r="N39" s="540"/>
      <c r="O39" s="540"/>
      <c r="P39" s="540"/>
      <c r="Q39" s="540"/>
      <c r="R39" s="540"/>
      <c r="S39" s="540"/>
      <c r="T39" s="540"/>
      <c r="U39" s="540"/>
    </row>
    <row r="40" spans="1:21" ht="14.25" customHeight="1">
      <c r="A40" s="58"/>
      <c r="B40" s="58"/>
      <c r="C40" s="58"/>
      <c r="D40" s="58"/>
      <c r="E40" s="58"/>
      <c r="F40" s="58"/>
      <c r="G40" s="58"/>
      <c r="H40" s="58"/>
      <c r="I40" s="58"/>
      <c r="K40" s="720" t="s">
        <v>239</v>
      </c>
      <c r="L40" s="720"/>
      <c r="M40" s="720"/>
      <c r="N40" s="720"/>
      <c r="O40" s="720"/>
      <c r="P40" s="720"/>
      <c r="Q40" s="720"/>
      <c r="R40" s="720"/>
      <c r="S40" s="720"/>
      <c r="T40" s="720"/>
      <c r="U40" s="720"/>
    </row>
    <row r="41" spans="1:21">
      <c r="A41" s="58"/>
      <c r="B41" s="58"/>
      <c r="C41" s="58"/>
      <c r="D41" s="58"/>
      <c r="E41" s="58"/>
      <c r="F41" s="58"/>
      <c r="G41" s="58"/>
      <c r="H41" s="58"/>
      <c r="I41" s="58"/>
      <c r="K41" s="733" t="s">
        <v>240</v>
      </c>
      <c r="L41" s="733"/>
      <c r="M41" s="734" t="s">
        <v>241</v>
      </c>
      <c r="N41" s="734"/>
      <c r="O41" s="734"/>
      <c r="P41" s="734"/>
      <c r="Q41" s="734"/>
      <c r="R41" s="734"/>
      <c r="S41" s="59"/>
      <c r="T41" s="59"/>
      <c r="U41" s="275"/>
    </row>
    <row r="42" spans="1:21">
      <c r="A42" s="58"/>
      <c r="B42" s="58"/>
      <c r="C42" s="58"/>
      <c r="D42" s="58"/>
      <c r="E42" s="58"/>
      <c r="F42" s="58"/>
      <c r="G42" s="58"/>
      <c r="H42" s="58"/>
      <c r="I42" s="58"/>
      <c r="M42" s="57"/>
      <c r="N42" s="57"/>
      <c r="O42" s="57"/>
      <c r="P42" s="57"/>
      <c r="Q42" s="57"/>
      <c r="R42" s="57"/>
    </row>
    <row r="43" spans="1:21">
      <c r="A43" s="749" t="s">
        <v>242</v>
      </c>
      <c r="B43" s="716"/>
      <c r="C43" s="716"/>
      <c r="D43" s="716"/>
      <c r="E43" s="716"/>
      <c r="F43" s="716"/>
      <c r="G43" s="716"/>
      <c r="H43" s="716"/>
      <c r="I43" s="716"/>
      <c r="K43" s="735" t="str">
        <f>VLOOKUP(M41,Sheet2!W227:X228,2,FALSE)</f>
        <v>That's enough</v>
      </c>
      <c r="L43" s="735"/>
    </row>
    <row r="44" spans="1:21">
      <c r="A44" s="716"/>
      <c r="B44" s="716"/>
      <c r="C44" s="716"/>
      <c r="D44" s="716"/>
      <c r="E44" s="716"/>
      <c r="F44" s="716"/>
      <c r="G44" s="716"/>
      <c r="H44" s="716"/>
      <c r="I44" s="716"/>
      <c r="K44" s="745"/>
      <c r="L44" s="745"/>
      <c r="M44" s="745"/>
      <c r="N44" s="745"/>
      <c r="O44" s="745"/>
      <c r="P44" s="745"/>
      <c r="Q44" s="745"/>
      <c r="R44" s="745"/>
      <c r="S44" s="745"/>
      <c r="T44" s="745"/>
      <c r="U44" s="745"/>
    </row>
    <row r="45" spans="1:21">
      <c r="A45" s="716"/>
      <c r="B45" s="716"/>
      <c r="C45" s="716"/>
      <c r="D45" s="716"/>
      <c r="E45" s="716"/>
      <c r="F45" s="716"/>
      <c r="G45" s="716"/>
      <c r="H45" s="716"/>
      <c r="I45" s="716"/>
      <c r="K45" s="745"/>
      <c r="L45" s="745"/>
      <c r="M45" s="745"/>
      <c r="N45" s="745"/>
      <c r="O45" s="745"/>
      <c r="P45" s="745"/>
      <c r="Q45" s="745"/>
      <c r="R45" s="745"/>
      <c r="S45" s="745"/>
      <c r="T45" s="745"/>
      <c r="U45" s="745"/>
    </row>
    <row r="46" spans="1:21">
      <c r="K46" s="746"/>
      <c r="L46" s="746"/>
      <c r="M46" s="746"/>
      <c r="N46" s="746"/>
      <c r="O46" s="746"/>
      <c r="P46" s="746"/>
      <c r="Q46" s="746"/>
      <c r="R46" s="746"/>
      <c r="S46" s="746"/>
      <c r="T46" s="746"/>
      <c r="U46" s="746"/>
    </row>
    <row r="47" spans="1:21">
      <c r="A47" s="710" t="s">
        <v>214</v>
      </c>
      <c r="B47" s="710"/>
      <c r="C47" s="710"/>
      <c r="D47" s="710"/>
      <c r="E47" s="710"/>
      <c r="F47" s="710"/>
      <c r="G47" s="76">
        <f>H8</f>
        <v>0</v>
      </c>
      <c r="H47" s="717" t="str">
        <f>H7</f>
        <v>CSC-Q0-2022</v>
      </c>
      <c r="I47" s="717"/>
      <c r="J47" s="743" t="s">
        <v>214</v>
      </c>
      <c r="K47" s="743"/>
      <c r="L47" s="743"/>
      <c r="M47" s="743"/>
      <c r="N47" s="743"/>
      <c r="O47" s="743"/>
      <c r="P47" s="743"/>
      <c r="Q47" s="743"/>
      <c r="R47" s="77">
        <f>G47</f>
        <v>0</v>
      </c>
      <c r="S47" s="736" t="str">
        <f>H47</f>
        <v>CSC-Q0-2022</v>
      </c>
      <c r="T47" s="736"/>
      <c r="U47" s="736"/>
    </row>
    <row r="48" spans="1:21" ht="14.25" customHeight="1">
      <c r="A48" s="404" t="s">
        <v>1</v>
      </c>
      <c r="B48" s="404"/>
      <c r="C48" s="404"/>
      <c r="D48" s="404"/>
      <c r="H48" s="20"/>
      <c r="I48" s="405" t="s">
        <v>215</v>
      </c>
      <c r="J48" s="405"/>
      <c r="K48" s="404" t="s">
        <v>3</v>
      </c>
      <c r="L48" s="404"/>
      <c r="M48" s="404"/>
      <c r="N48" s="404"/>
      <c r="Q48" s="20"/>
      <c r="R48" s="405" t="s">
        <v>215</v>
      </c>
      <c r="S48" s="405"/>
      <c r="T48" s="405"/>
      <c r="U48" s="405"/>
    </row>
    <row r="49" spans="1:21" ht="14.25" customHeight="1">
      <c r="A49" s="404"/>
      <c r="B49" s="404"/>
      <c r="C49" s="404"/>
      <c r="D49" s="404"/>
      <c r="G49" s="405" t="s">
        <v>243</v>
      </c>
      <c r="H49" s="405"/>
      <c r="I49" s="405"/>
      <c r="J49" s="405"/>
      <c r="K49" s="404"/>
      <c r="L49" s="404"/>
      <c r="M49" s="404"/>
      <c r="N49" s="404"/>
      <c r="P49" s="405" t="s">
        <v>244</v>
      </c>
      <c r="Q49" s="405"/>
      <c r="R49" s="405"/>
      <c r="S49" s="405"/>
      <c r="T49" s="405"/>
      <c r="U49" s="405"/>
    </row>
    <row r="50" spans="1:21" ht="14.25" customHeight="1">
      <c r="A50" s="404"/>
      <c r="B50" s="404"/>
      <c r="C50" s="404"/>
      <c r="D50" s="404"/>
      <c r="G50" s="547" t="s">
        <v>1091</v>
      </c>
      <c r="H50" s="547"/>
      <c r="I50" s="547"/>
      <c r="J50" s="547"/>
      <c r="K50" s="404"/>
      <c r="L50" s="404"/>
      <c r="M50" s="404"/>
      <c r="N50" s="404"/>
      <c r="Q50" s="547" t="s">
        <v>1091</v>
      </c>
      <c r="R50" s="547"/>
      <c r="S50" s="547"/>
      <c r="T50" s="547"/>
      <c r="U50" s="547"/>
    </row>
    <row r="51" spans="1:21" ht="14.25" customHeight="1">
      <c r="A51" s="695" t="s">
        <v>245</v>
      </c>
      <c r="B51" s="695"/>
      <c r="C51" s="695"/>
      <c r="D51" s="695"/>
      <c r="E51" s="695"/>
      <c r="F51" s="695"/>
      <c r="G51" s="695"/>
      <c r="H51" s="695"/>
      <c r="I51" s="695"/>
      <c r="J51" s="61"/>
      <c r="K51" s="695" t="s">
        <v>246</v>
      </c>
      <c r="L51" s="695"/>
      <c r="M51" s="695"/>
      <c r="N51" s="695"/>
      <c r="O51" s="695"/>
      <c r="P51" s="695"/>
      <c r="Q51" s="695"/>
      <c r="R51" s="695"/>
      <c r="S51" s="695"/>
      <c r="T51" s="695"/>
      <c r="U51" s="695"/>
    </row>
    <row r="52" spans="1:21">
      <c r="A52" s="695"/>
      <c r="B52" s="695"/>
      <c r="C52" s="695"/>
      <c r="D52" s="695"/>
      <c r="E52" s="695"/>
      <c r="F52" s="695"/>
      <c r="G52" s="695"/>
      <c r="H52" s="695"/>
      <c r="I52" s="695"/>
      <c r="J52" s="275"/>
      <c r="K52" s="695"/>
      <c r="L52" s="695"/>
      <c r="M52" s="695"/>
      <c r="N52" s="695"/>
      <c r="O52" s="695"/>
      <c r="P52" s="695"/>
      <c r="Q52" s="695"/>
      <c r="R52" s="695"/>
      <c r="S52" s="695"/>
      <c r="T52" s="695"/>
      <c r="U52" s="695"/>
    </row>
    <row r="53" spans="1:21">
      <c r="A53" s="695"/>
      <c r="B53" s="695"/>
      <c r="C53" s="695"/>
      <c r="D53" s="695"/>
      <c r="E53" s="695"/>
      <c r="F53" s="695"/>
      <c r="G53" s="695"/>
      <c r="H53" s="695"/>
      <c r="I53" s="695"/>
      <c r="J53" s="275"/>
      <c r="K53" s="695"/>
      <c r="L53" s="695"/>
      <c r="M53" s="695"/>
      <c r="N53" s="695"/>
      <c r="O53" s="695"/>
      <c r="P53" s="695"/>
      <c r="Q53" s="695"/>
      <c r="R53" s="695"/>
      <c r="S53" s="695"/>
      <c r="T53" s="695"/>
      <c r="U53" s="695"/>
    </row>
    <row r="54" spans="1:21">
      <c r="A54" s="695"/>
      <c r="B54" s="695"/>
      <c r="C54" s="695"/>
      <c r="D54" s="695"/>
      <c r="E54" s="695"/>
      <c r="F54" s="695"/>
      <c r="G54" s="695"/>
      <c r="H54" s="695"/>
      <c r="I54" s="695"/>
      <c r="J54" s="275"/>
      <c r="K54" s="695"/>
      <c r="L54" s="695"/>
      <c r="M54" s="695"/>
      <c r="N54" s="695"/>
      <c r="O54" s="695"/>
      <c r="P54" s="695"/>
      <c r="Q54" s="695"/>
      <c r="R54" s="695"/>
      <c r="S54" s="695"/>
      <c r="T54" s="695"/>
      <c r="U54" s="695"/>
    </row>
    <row r="55" spans="1:21">
      <c r="A55" s="695"/>
      <c r="B55" s="695"/>
      <c r="C55" s="695"/>
      <c r="D55" s="695"/>
      <c r="E55" s="695"/>
      <c r="F55" s="695"/>
      <c r="G55" s="695"/>
      <c r="H55" s="695"/>
      <c r="I55" s="695"/>
      <c r="J55" s="275"/>
      <c r="K55" s="695"/>
      <c r="L55" s="695"/>
      <c r="M55" s="695"/>
      <c r="N55" s="695"/>
      <c r="O55" s="695"/>
      <c r="P55" s="695"/>
      <c r="Q55" s="695"/>
      <c r="R55" s="695"/>
      <c r="S55" s="695"/>
      <c r="T55" s="695"/>
      <c r="U55" s="695"/>
    </row>
    <row r="56" spans="1:21" ht="14.25" customHeight="1">
      <c r="A56" s="690" t="s">
        <v>247</v>
      </c>
      <c r="B56" s="691"/>
      <c r="C56" s="691"/>
      <c r="D56" s="691"/>
      <c r="E56" s="691"/>
      <c r="F56" s="691"/>
      <c r="G56" s="691"/>
      <c r="H56" s="691"/>
      <c r="I56" s="691"/>
      <c r="J56" s="61"/>
      <c r="K56" s="695" t="s">
        <v>248</v>
      </c>
      <c r="L56" s="695"/>
      <c r="M56" s="695"/>
      <c r="N56" s="695"/>
      <c r="O56" s="695"/>
      <c r="P56" s="695"/>
      <c r="Q56" s="695"/>
      <c r="R56" s="695"/>
      <c r="S56" s="695"/>
      <c r="T56" s="695"/>
      <c r="U56" s="695"/>
    </row>
    <row r="57" spans="1:21">
      <c r="A57" s="731" t="s">
        <v>249</v>
      </c>
      <c r="B57" s="731"/>
      <c r="C57" s="731"/>
      <c r="D57" s="731"/>
      <c r="E57" s="731"/>
      <c r="F57" s="731"/>
      <c r="G57" s="731"/>
      <c r="H57" s="731"/>
      <c r="I57" s="731"/>
      <c r="J57" s="275"/>
      <c r="K57" s="695"/>
      <c r="L57" s="695"/>
      <c r="M57" s="695"/>
      <c r="N57" s="695"/>
      <c r="O57" s="695"/>
      <c r="P57" s="695"/>
      <c r="Q57" s="695"/>
      <c r="R57" s="695"/>
      <c r="S57" s="695"/>
      <c r="T57" s="695"/>
      <c r="U57" s="695"/>
    </row>
    <row r="58" spans="1:21">
      <c r="A58" s="732"/>
      <c r="B58" s="732"/>
      <c r="C58" s="732"/>
      <c r="D58" s="732"/>
      <c r="E58" s="732"/>
      <c r="F58" s="732"/>
      <c r="G58" s="732"/>
      <c r="H58" s="732"/>
      <c r="I58" s="732"/>
      <c r="J58" s="275"/>
      <c r="K58" s="695"/>
      <c r="L58" s="695"/>
      <c r="M58" s="695"/>
      <c r="N58" s="695"/>
      <c r="O58" s="695"/>
      <c r="P58" s="695"/>
      <c r="Q58" s="695"/>
      <c r="R58" s="695"/>
      <c r="S58" s="695"/>
      <c r="T58" s="695"/>
      <c r="U58" s="695"/>
    </row>
    <row r="59" spans="1:21">
      <c r="A59" s="436" t="s">
        <v>250</v>
      </c>
      <c r="B59" s="436"/>
      <c r="C59" s="612" t="str">
        <f>'1-Questionnaire'!C18</f>
        <v>QMS 2015</v>
      </c>
      <c r="D59" s="613"/>
      <c r="E59" s="613"/>
      <c r="F59" s="613"/>
      <c r="G59" s="613"/>
      <c r="H59" s="613"/>
      <c r="I59" s="685"/>
      <c r="J59" s="275"/>
      <c r="K59" s="695"/>
      <c r="L59" s="695"/>
      <c r="M59" s="695"/>
      <c r="N59" s="695"/>
      <c r="O59" s="695"/>
      <c r="P59" s="695"/>
      <c r="Q59" s="695"/>
      <c r="R59" s="695"/>
      <c r="S59" s="695"/>
      <c r="T59" s="695"/>
      <c r="U59" s="695"/>
    </row>
    <row r="60" spans="1:21">
      <c r="A60" s="436" t="s">
        <v>64</v>
      </c>
      <c r="B60" s="436"/>
      <c r="C60" s="612">
        <f>'1-Questionnaire'!C21</f>
        <v>0</v>
      </c>
      <c r="D60" s="613"/>
      <c r="E60" s="613"/>
      <c r="F60" s="613"/>
      <c r="G60" s="613"/>
      <c r="H60" s="613"/>
      <c r="I60" s="685"/>
      <c r="J60" s="275"/>
      <c r="K60" s="695"/>
      <c r="L60" s="695"/>
      <c r="M60" s="695"/>
      <c r="N60" s="695"/>
      <c r="O60" s="695"/>
      <c r="P60" s="695"/>
      <c r="Q60" s="695"/>
      <c r="R60" s="695"/>
      <c r="S60" s="695"/>
      <c r="T60" s="695"/>
      <c r="U60" s="695"/>
    </row>
    <row r="61" spans="1:21">
      <c r="A61" s="436" t="s">
        <v>251</v>
      </c>
      <c r="B61" s="436"/>
      <c r="C61" s="612" t="str">
        <f>'1-Questionnaire'!C25</f>
        <v>7.1.5 the company doesn't have any monitoring devices because they contracting with inspection company, 8.5.1(F) validation because they verified each process and they don't need any validation for their product, 8.5.3 Property belongs to customer and external providers because they don't receive any property from their customers or their external providers, 8.5.4 preservation because the company don't have any warehouse to preserve the product  , 8.5.5-Postdelivery due to the consumption nature of product  ,8.3- design due to the nature of product and the product doesn't need any design</v>
      </c>
      <c r="D61" s="613"/>
      <c r="E61" s="613"/>
      <c r="F61" s="613"/>
      <c r="G61" s="613"/>
      <c r="H61" s="613"/>
      <c r="I61" s="685"/>
      <c r="J61" s="275"/>
      <c r="K61" s="695"/>
      <c r="L61" s="695"/>
      <c r="M61" s="695"/>
      <c r="N61" s="695"/>
      <c r="O61" s="695"/>
      <c r="P61" s="695"/>
      <c r="Q61" s="695"/>
      <c r="R61" s="695"/>
      <c r="S61" s="695"/>
      <c r="T61" s="695"/>
      <c r="U61" s="695"/>
    </row>
    <row r="62" spans="1:21">
      <c r="A62" s="436" t="s">
        <v>252</v>
      </c>
      <c r="B62" s="436"/>
      <c r="C62" s="271" t="str">
        <f>'2-Calc. Sheet'!A20</f>
        <v>CII</v>
      </c>
      <c r="D62" s="267">
        <f>'2-Calc. Sheet'!A21</f>
        <v>0</v>
      </c>
      <c r="E62" s="267">
        <f>'2-Calc. Sheet'!A22</f>
        <v>0</v>
      </c>
      <c r="F62" s="267">
        <f>'2-Calc. Sheet'!A23</f>
        <v>0</v>
      </c>
      <c r="G62" s="267"/>
      <c r="H62" s="267"/>
      <c r="I62" s="269"/>
      <c r="J62" s="275"/>
      <c r="K62" s="695"/>
      <c r="L62" s="695"/>
      <c r="M62" s="695"/>
      <c r="N62" s="695"/>
      <c r="O62" s="695"/>
      <c r="P62" s="695"/>
      <c r="Q62" s="695"/>
      <c r="R62" s="695"/>
      <c r="S62" s="695"/>
      <c r="T62" s="695"/>
      <c r="U62" s="695"/>
    </row>
    <row r="63" spans="1:21">
      <c r="A63" s="275"/>
      <c r="B63" s="275"/>
      <c r="C63" s="275"/>
      <c r="D63" s="275"/>
      <c r="E63" s="275"/>
      <c r="F63" s="275"/>
      <c r="G63" s="275"/>
      <c r="H63" s="275"/>
      <c r="I63" s="275"/>
      <c r="J63" s="275"/>
      <c r="K63" s="695"/>
      <c r="L63" s="695"/>
      <c r="M63" s="695"/>
      <c r="N63" s="695"/>
      <c r="O63" s="695"/>
      <c r="P63" s="695"/>
      <c r="Q63" s="695"/>
      <c r="R63" s="695"/>
      <c r="S63" s="695"/>
      <c r="T63" s="695"/>
      <c r="U63" s="695"/>
    </row>
    <row r="64" spans="1:21">
      <c r="A64" s="750" t="s">
        <v>253</v>
      </c>
      <c r="B64" s="751"/>
      <c r="C64" s="751"/>
      <c r="D64" s="751"/>
      <c r="E64" s="751"/>
      <c r="F64" s="751"/>
      <c r="G64" s="751"/>
      <c r="H64" s="751"/>
      <c r="I64" s="751"/>
      <c r="J64" s="61"/>
      <c r="K64" s="695"/>
      <c r="L64" s="695"/>
      <c r="M64" s="695"/>
      <c r="N64" s="695"/>
      <c r="O64" s="695"/>
      <c r="P64" s="695"/>
      <c r="Q64" s="695"/>
      <c r="R64" s="695"/>
      <c r="S64" s="695"/>
      <c r="T64" s="695"/>
      <c r="U64" s="695"/>
    </row>
    <row r="65" spans="1:21" ht="14.25" customHeight="1">
      <c r="A65" s="708" t="s">
        <v>254</v>
      </c>
      <c r="B65" s="708"/>
      <c r="C65" s="708"/>
      <c r="D65" s="708"/>
      <c r="E65" s="708"/>
      <c r="F65" s="708"/>
      <c r="G65" s="708"/>
      <c r="H65" s="708"/>
      <c r="I65" s="708"/>
      <c r="J65" s="275"/>
      <c r="K65" s="695"/>
      <c r="L65" s="695"/>
      <c r="M65" s="695"/>
      <c r="N65" s="695"/>
      <c r="O65" s="695"/>
      <c r="P65" s="695"/>
      <c r="Q65" s="695"/>
      <c r="R65" s="695"/>
      <c r="S65" s="695"/>
      <c r="T65" s="695"/>
      <c r="U65" s="695"/>
    </row>
    <row r="66" spans="1:21">
      <c r="A66" s="695"/>
      <c r="B66" s="695"/>
      <c r="C66" s="695"/>
      <c r="D66" s="695"/>
      <c r="E66" s="695"/>
      <c r="F66" s="695"/>
      <c r="G66" s="695"/>
      <c r="H66" s="695"/>
      <c r="I66" s="695"/>
      <c r="J66" s="275"/>
      <c r="K66" s="695"/>
      <c r="L66" s="695"/>
      <c r="M66" s="695"/>
      <c r="N66" s="695"/>
      <c r="O66" s="695"/>
      <c r="P66" s="695"/>
      <c r="Q66" s="695"/>
      <c r="R66" s="695"/>
      <c r="S66" s="695"/>
      <c r="T66" s="695"/>
      <c r="U66" s="695"/>
    </row>
    <row r="67" spans="1:21">
      <c r="A67" s="695"/>
      <c r="B67" s="695"/>
      <c r="C67" s="695"/>
      <c r="D67" s="695"/>
      <c r="E67" s="695"/>
      <c r="F67" s="695"/>
      <c r="G67" s="695"/>
      <c r="H67" s="695"/>
      <c r="I67" s="695"/>
      <c r="J67" s="275"/>
      <c r="K67" s="695"/>
      <c r="L67" s="695"/>
      <c r="M67" s="695"/>
      <c r="N67" s="695"/>
      <c r="O67" s="695"/>
      <c r="P67" s="695"/>
      <c r="Q67" s="695"/>
      <c r="R67" s="695"/>
      <c r="S67" s="695"/>
      <c r="T67" s="695"/>
      <c r="U67" s="695"/>
    </row>
    <row r="68" spans="1:21">
      <c r="A68" s="695"/>
      <c r="B68" s="695"/>
      <c r="C68" s="695"/>
      <c r="D68" s="695"/>
      <c r="E68" s="695"/>
      <c r="F68" s="695"/>
      <c r="G68" s="695"/>
      <c r="H68" s="695"/>
      <c r="I68" s="695"/>
      <c r="J68" s="275"/>
      <c r="K68" s="695"/>
      <c r="L68" s="695"/>
      <c r="M68" s="695"/>
      <c r="N68" s="695"/>
      <c r="O68" s="695"/>
      <c r="P68" s="695"/>
      <c r="Q68" s="695"/>
      <c r="R68" s="695"/>
      <c r="S68" s="695"/>
      <c r="T68" s="695"/>
      <c r="U68" s="695"/>
    </row>
    <row r="69" spans="1:21" ht="14.25" customHeight="1">
      <c r="A69" s="695"/>
      <c r="B69" s="695"/>
      <c r="C69" s="695"/>
      <c r="D69" s="695"/>
      <c r="E69" s="695"/>
      <c r="F69" s="695"/>
      <c r="G69" s="695"/>
      <c r="H69" s="695"/>
      <c r="I69" s="695"/>
      <c r="K69" s="695"/>
      <c r="L69" s="695"/>
      <c r="M69" s="695"/>
      <c r="N69" s="695"/>
      <c r="O69" s="695"/>
      <c r="P69" s="695"/>
      <c r="Q69" s="695"/>
      <c r="R69" s="695"/>
      <c r="S69" s="695"/>
      <c r="T69" s="695"/>
      <c r="U69" s="695"/>
    </row>
    <row r="70" spans="1:21" ht="14.25" customHeight="1">
      <c r="A70" s="695"/>
      <c r="B70" s="695"/>
      <c r="C70" s="695"/>
      <c r="D70" s="695"/>
      <c r="E70" s="695"/>
      <c r="F70" s="695"/>
      <c r="G70" s="695"/>
      <c r="H70" s="695"/>
      <c r="I70" s="695"/>
      <c r="K70" s="695"/>
      <c r="L70" s="695"/>
      <c r="M70" s="695"/>
      <c r="N70" s="695"/>
      <c r="O70" s="695"/>
      <c r="P70" s="695"/>
      <c r="Q70" s="695"/>
      <c r="R70" s="695"/>
      <c r="S70" s="695"/>
      <c r="T70" s="695"/>
      <c r="U70" s="695"/>
    </row>
    <row r="71" spans="1:21">
      <c r="A71" s="695"/>
      <c r="B71" s="695"/>
      <c r="C71" s="695"/>
      <c r="D71" s="695"/>
      <c r="E71" s="695"/>
      <c r="F71" s="695"/>
      <c r="G71" s="695"/>
      <c r="H71" s="695"/>
      <c r="I71" s="695"/>
      <c r="K71" s="695" t="s">
        <v>255</v>
      </c>
      <c r="L71" s="695"/>
      <c r="M71" s="695"/>
      <c r="N71" s="695"/>
      <c r="O71" s="695"/>
      <c r="P71" s="695"/>
      <c r="Q71" s="695"/>
      <c r="R71" s="695"/>
      <c r="S71" s="695"/>
      <c r="T71" s="695"/>
      <c r="U71" s="695"/>
    </row>
    <row r="72" spans="1:21">
      <c r="A72" s="695"/>
      <c r="B72" s="695"/>
      <c r="C72" s="695"/>
      <c r="D72" s="695"/>
      <c r="E72" s="695"/>
      <c r="F72" s="695"/>
      <c r="G72" s="695"/>
      <c r="H72" s="695"/>
      <c r="I72" s="695"/>
      <c r="K72" s="695"/>
      <c r="L72" s="695"/>
      <c r="M72" s="695"/>
      <c r="N72" s="695"/>
      <c r="O72" s="695"/>
      <c r="P72" s="695"/>
      <c r="Q72" s="695"/>
      <c r="R72" s="695"/>
      <c r="S72" s="695"/>
      <c r="T72" s="695"/>
      <c r="U72" s="695"/>
    </row>
    <row r="73" spans="1:21">
      <c r="A73" s="695"/>
      <c r="B73" s="695"/>
      <c r="C73" s="695"/>
      <c r="D73" s="695"/>
      <c r="E73" s="695"/>
      <c r="F73" s="695"/>
      <c r="G73" s="695"/>
      <c r="H73" s="695"/>
      <c r="I73" s="695"/>
      <c r="K73" s="695"/>
      <c r="L73" s="695"/>
      <c r="M73" s="695"/>
      <c r="N73" s="695"/>
      <c r="O73" s="695"/>
      <c r="P73" s="695"/>
      <c r="Q73" s="695"/>
      <c r="R73" s="695"/>
      <c r="S73" s="695"/>
      <c r="T73" s="695"/>
      <c r="U73" s="695"/>
    </row>
    <row r="74" spans="1:21">
      <c r="A74" s="695"/>
      <c r="B74" s="695"/>
      <c r="C74" s="695"/>
      <c r="D74" s="695"/>
      <c r="E74" s="695"/>
      <c r="F74" s="695"/>
      <c r="G74" s="695"/>
      <c r="H74" s="695"/>
      <c r="I74" s="695"/>
      <c r="K74" s="695"/>
      <c r="L74" s="695"/>
      <c r="M74" s="695"/>
      <c r="N74" s="695"/>
      <c r="O74" s="695"/>
      <c r="P74" s="695"/>
      <c r="Q74" s="695"/>
      <c r="R74" s="695"/>
      <c r="S74" s="695"/>
      <c r="T74" s="695"/>
      <c r="U74" s="695"/>
    </row>
    <row r="75" spans="1:21">
      <c r="A75" s="695"/>
      <c r="B75" s="695"/>
      <c r="C75" s="695"/>
      <c r="D75" s="695"/>
      <c r="E75" s="695"/>
      <c r="F75" s="695"/>
      <c r="G75" s="695"/>
      <c r="H75" s="695"/>
      <c r="I75" s="695"/>
      <c r="K75" s="695"/>
      <c r="L75" s="695"/>
      <c r="M75" s="695"/>
      <c r="N75" s="695"/>
      <c r="O75" s="695"/>
      <c r="P75" s="695"/>
      <c r="Q75" s="695"/>
      <c r="R75" s="695"/>
      <c r="S75" s="695"/>
      <c r="T75" s="695"/>
      <c r="U75" s="695"/>
    </row>
    <row r="76" spans="1:21">
      <c r="A76" s="695"/>
      <c r="B76" s="695"/>
      <c r="C76" s="695"/>
      <c r="D76" s="695"/>
      <c r="E76" s="695"/>
      <c r="F76" s="695"/>
      <c r="G76" s="695"/>
      <c r="H76" s="695"/>
      <c r="I76" s="695"/>
      <c r="K76" s="695"/>
      <c r="L76" s="695"/>
      <c r="M76" s="695"/>
      <c r="N76" s="695"/>
      <c r="O76" s="695"/>
      <c r="P76" s="695"/>
      <c r="Q76" s="695"/>
      <c r="R76" s="695"/>
      <c r="S76" s="695"/>
      <c r="T76" s="695"/>
      <c r="U76" s="695"/>
    </row>
    <row r="77" spans="1:21">
      <c r="A77" s="695"/>
      <c r="B77" s="695"/>
      <c r="C77" s="695"/>
      <c r="D77" s="695"/>
      <c r="E77" s="695"/>
      <c r="F77" s="695"/>
      <c r="G77" s="695"/>
      <c r="H77" s="695"/>
      <c r="I77" s="695"/>
      <c r="K77" s="695"/>
      <c r="L77" s="695"/>
      <c r="M77" s="695"/>
      <c r="N77" s="695"/>
      <c r="O77" s="695"/>
      <c r="P77" s="695"/>
      <c r="Q77" s="695"/>
      <c r="R77" s="695"/>
      <c r="S77" s="695"/>
      <c r="T77" s="695"/>
      <c r="U77" s="695"/>
    </row>
    <row r="78" spans="1:21">
      <c r="A78" s="695"/>
      <c r="B78" s="695"/>
      <c r="C78" s="695"/>
      <c r="D78" s="695"/>
      <c r="E78" s="695"/>
      <c r="F78" s="695"/>
      <c r="G78" s="695"/>
      <c r="H78" s="695"/>
      <c r="I78" s="695"/>
      <c r="K78" s="695"/>
      <c r="L78" s="695"/>
      <c r="M78" s="695"/>
      <c r="N78" s="695"/>
      <c r="O78" s="695"/>
      <c r="P78" s="695"/>
      <c r="Q78" s="695"/>
      <c r="R78" s="695"/>
      <c r="S78" s="695"/>
      <c r="T78" s="695"/>
      <c r="U78" s="695"/>
    </row>
    <row r="79" spans="1:21">
      <c r="A79" s="695"/>
      <c r="B79" s="695"/>
      <c r="C79" s="695"/>
      <c r="D79" s="695"/>
      <c r="E79" s="695"/>
      <c r="F79" s="695"/>
      <c r="G79" s="695"/>
      <c r="H79" s="695"/>
      <c r="I79" s="695"/>
      <c r="J79" s="275"/>
      <c r="K79" s="695"/>
      <c r="L79" s="695"/>
      <c r="M79" s="695"/>
      <c r="N79" s="695"/>
      <c r="O79" s="695"/>
      <c r="P79" s="695"/>
      <c r="Q79" s="695"/>
      <c r="R79" s="695"/>
      <c r="S79" s="695"/>
      <c r="T79" s="695"/>
      <c r="U79" s="695"/>
    </row>
    <row r="80" spans="1:21" ht="14.25" customHeight="1">
      <c r="A80" s="695"/>
      <c r="B80" s="695"/>
      <c r="C80" s="695"/>
      <c r="D80" s="695"/>
      <c r="E80" s="695"/>
      <c r="F80" s="695"/>
      <c r="G80" s="695"/>
      <c r="H80" s="695"/>
      <c r="I80" s="695"/>
      <c r="J80" s="275"/>
      <c r="K80" s="695"/>
      <c r="L80" s="695"/>
      <c r="M80" s="695"/>
      <c r="N80" s="695"/>
      <c r="O80" s="695"/>
      <c r="P80" s="695"/>
      <c r="Q80" s="695"/>
      <c r="R80" s="695"/>
      <c r="S80" s="695"/>
      <c r="T80" s="695"/>
      <c r="U80" s="695"/>
    </row>
    <row r="81" spans="1:21">
      <c r="A81" s="695"/>
      <c r="B81" s="695"/>
      <c r="C81" s="695"/>
      <c r="D81" s="695"/>
      <c r="E81" s="695"/>
      <c r="F81" s="695"/>
      <c r="G81" s="695"/>
      <c r="H81" s="695"/>
      <c r="I81" s="695"/>
      <c r="J81" s="275"/>
      <c r="K81" s="695"/>
      <c r="L81" s="695"/>
      <c r="M81" s="695"/>
      <c r="N81" s="695"/>
      <c r="O81" s="695"/>
      <c r="P81" s="695"/>
      <c r="Q81" s="695"/>
      <c r="R81" s="695"/>
      <c r="S81" s="695"/>
      <c r="T81" s="695"/>
      <c r="U81" s="695"/>
    </row>
    <row r="82" spans="1:21">
      <c r="A82" s="695"/>
      <c r="B82" s="695"/>
      <c r="C82" s="695"/>
      <c r="D82" s="695"/>
      <c r="E82" s="695"/>
      <c r="F82" s="695"/>
      <c r="G82" s="695"/>
      <c r="H82" s="695"/>
      <c r="I82" s="695"/>
      <c r="J82" s="275"/>
      <c r="K82" s="695"/>
      <c r="L82" s="695"/>
      <c r="M82" s="695"/>
      <c r="N82" s="695"/>
      <c r="O82" s="695"/>
      <c r="P82" s="695"/>
      <c r="Q82" s="695"/>
      <c r="R82" s="695"/>
      <c r="S82" s="695"/>
      <c r="T82" s="695"/>
      <c r="U82" s="695"/>
    </row>
    <row r="83" spans="1:21">
      <c r="A83" s="695"/>
      <c r="B83" s="695"/>
      <c r="C83" s="695"/>
      <c r="D83" s="695"/>
      <c r="E83" s="695"/>
      <c r="F83" s="695"/>
      <c r="G83" s="695"/>
      <c r="H83" s="695"/>
      <c r="I83" s="695"/>
      <c r="J83" s="275"/>
      <c r="K83" s="695" t="s">
        <v>256</v>
      </c>
      <c r="L83" s="695"/>
      <c r="M83" s="695"/>
      <c r="N83" s="695"/>
      <c r="O83" s="695"/>
      <c r="P83" s="695"/>
      <c r="Q83" s="695"/>
      <c r="R83" s="695"/>
      <c r="S83" s="695"/>
      <c r="T83" s="695"/>
      <c r="U83" s="695"/>
    </row>
    <row r="84" spans="1:21">
      <c r="A84" s="695"/>
      <c r="B84" s="695"/>
      <c r="C84" s="695"/>
      <c r="D84" s="695"/>
      <c r="E84" s="695"/>
      <c r="F84" s="695"/>
      <c r="G84" s="695"/>
      <c r="H84" s="695"/>
      <c r="I84" s="695"/>
      <c r="J84" s="275"/>
      <c r="K84" s="695"/>
      <c r="L84" s="695"/>
      <c r="M84" s="695"/>
      <c r="N84" s="695"/>
      <c r="O84" s="695"/>
      <c r="P84" s="695"/>
      <c r="Q84" s="695"/>
      <c r="R84" s="695"/>
      <c r="S84" s="695"/>
      <c r="T84" s="695"/>
      <c r="U84" s="695"/>
    </row>
    <row r="85" spans="1:21">
      <c r="A85" s="695"/>
      <c r="B85" s="695"/>
      <c r="C85" s="695"/>
      <c r="D85" s="695"/>
      <c r="E85" s="695"/>
      <c r="F85" s="695"/>
      <c r="G85" s="695"/>
      <c r="H85" s="695"/>
      <c r="I85" s="695"/>
      <c r="K85" s="695"/>
      <c r="L85" s="695"/>
      <c r="M85" s="695"/>
      <c r="N85" s="695"/>
      <c r="O85" s="695"/>
      <c r="P85" s="695"/>
      <c r="Q85" s="695"/>
      <c r="R85" s="695"/>
      <c r="S85" s="695"/>
      <c r="T85" s="695"/>
      <c r="U85" s="695"/>
    </row>
    <row r="86" spans="1:21">
      <c r="A86" s="695"/>
      <c r="B86" s="695"/>
      <c r="C86" s="695"/>
      <c r="D86" s="695"/>
      <c r="E86" s="695"/>
      <c r="F86" s="695"/>
      <c r="G86" s="695"/>
      <c r="H86" s="695"/>
      <c r="I86" s="695"/>
      <c r="J86" s="61"/>
      <c r="K86" s="695"/>
      <c r="L86" s="695"/>
      <c r="M86" s="695"/>
      <c r="N86" s="695"/>
      <c r="O86" s="695"/>
      <c r="P86" s="695"/>
      <c r="Q86" s="695"/>
      <c r="R86" s="695"/>
      <c r="S86" s="695"/>
      <c r="T86" s="695"/>
      <c r="U86" s="695"/>
    </row>
    <row r="87" spans="1:21">
      <c r="A87" s="695"/>
      <c r="B87" s="695"/>
      <c r="C87" s="695"/>
      <c r="D87" s="695"/>
      <c r="E87" s="695"/>
      <c r="F87" s="695"/>
      <c r="G87" s="695"/>
      <c r="H87" s="695"/>
      <c r="I87" s="695"/>
      <c r="J87" s="3"/>
      <c r="K87" s="695"/>
      <c r="L87" s="695"/>
      <c r="M87" s="695"/>
      <c r="N87" s="695"/>
      <c r="O87" s="695"/>
      <c r="P87" s="695"/>
      <c r="Q87" s="695"/>
      <c r="R87" s="695"/>
      <c r="S87" s="695"/>
      <c r="T87" s="695"/>
      <c r="U87" s="695"/>
    </row>
    <row r="88" spans="1:21" ht="14.25" customHeight="1">
      <c r="A88" s="695"/>
      <c r="B88" s="695"/>
      <c r="C88" s="695"/>
      <c r="D88" s="695"/>
      <c r="E88" s="695"/>
      <c r="F88" s="695"/>
      <c r="G88" s="695"/>
      <c r="H88" s="695"/>
      <c r="I88" s="695"/>
      <c r="J88" s="59"/>
      <c r="K88" s="695"/>
      <c r="L88" s="695"/>
      <c r="M88" s="695"/>
      <c r="N88" s="695"/>
      <c r="O88" s="695"/>
      <c r="P88" s="695"/>
      <c r="Q88" s="695"/>
      <c r="R88" s="695"/>
      <c r="S88" s="695"/>
      <c r="T88" s="695"/>
      <c r="U88" s="695"/>
    </row>
    <row r="89" spans="1:21">
      <c r="A89" s="695" t="s">
        <v>257</v>
      </c>
      <c r="B89" s="695"/>
      <c r="C89" s="695"/>
      <c r="D89" s="695"/>
      <c r="E89" s="695"/>
      <c r="F89" s="695"/>
      <c r="G89" s="695"/>
      <c r="H89" s="695"/>
      <c r="I89" s="695"/>
      <c r="K89" s="695"/>
      <c r="L89" s="695"/>
      <c r="M89" s="695"/>
      <c r="N89" s="695"/>
      <c r="O89" s="695"/>
      <c r="P89" s="695"/>
      <c r="Q89" s="695"/>
      <c r="R89" s="695"/>
      <c r="S89" s="695"/>
      <c r="T89" s="695"/>
      <c r="U89" s="695"/>
    </row>
    <row r="90" spans="1:21" ht="14.25" customHeight="1">
      <c r="A90" s="695"/>
      <c r="B90" s="695"/>
      <c r="C90" s="695"/>
      <c r="D90" s="695"/>
      <c r="E90" s="695"/>
      <c r="F90" s="695"/>
      <c r="G90" s="695"/>
      <c r="H90" s="695"/>
      <c r="I90" s="695"/>
      <c r="K90" s="695"/>
      <c r="L90" s="695"/>
      <c r="M90" s="695"/>
      <c r="N90" s="695"/>
      <c r="O90" s="695"/>
      <c r="P90" s="695"/>
      <c r="Q90" s="695"/>
      <c r="R90" s="695"/>
      <c r="S90" s="695"/>
      <c r="T90" s="695"/>
      <c r="U90" s="695"/>
    </row>
    <row r="91" spans="1:21">
      <c r="A91" s="695"/>
      <c r="B91" s="695"/>
      <c r="C91" s="695"/>
      <c r="D91" s="695"/>
      <c r="E91" s="695"/>
      <c r="F91" s="695"/>
      <c r="G91" s="695"/>
      <c r="H91" s="695"/>
      <c r="I91" s="695"/>
      <c r="J91" s="63"/>
      <c r="K91" s="695"/>
      <c r="L91" s="695"/>
      <c r="M91" s="695"/>
      <c r="N91" s="695"/>
      <c r="O91" s="695"/>
      <c r="P91" s="695"/>
      <c r="Q91" s="695"/>
      <c r="R91" s="695"/>
      <c r="S91" s="695"/>
      <c r="T91" s="695"/>
      <c r="U91" s="695"/>
    </row>
    <row r="92" spans="1:21">
      <c r="A92" s="695"/>
      <c r="B92" s="695"/>
      <c r="C92" s="695"/>
      <c r="D92" s="695"/>
      <c r="E92" s="695"/>
      <c r="F92" s="695"/>
      <c r="G92" s="695"/>
      <c r="H92" s="695"/>
      <c r="I92" s="695"/>
      <c r="J92" s="63"/>
      <c r="K92" s="695"/>
      <c r="L92" s="695"/>
      <c r="M92" s="695"/>
      <c r="N92" s="695"/>
      <c r="O92" s="695"/>
      <c r="P92" s="695"/>
      <c r="Q92" s="695"/>
      <c r="R92" s="695"/>
      <c r="S92" s="695"/>
      <c r="T92" s="695"/>
      <c r="U92" s="695"/>
    </row>
    <row r="93" spans="1:21">
      <c r="A93" s="696"/>
      <c r="B93" s="696"/>
      <c r="C93" s="696"/>
      <c r="D93" s="696"/>
      <c r="E93" s="696"/>
      <c r="F93" s="696"/>
      <c r="G93" s="696"/>
      <c r="H93" s="696"/>
      <c r="I93" s="696"/>
      <c r="J93" s="64"/>
      <c r="K93" s="696"/>
      <c r="L93" s="696"/>
      <c r="M93" s="696"/>
      <c r="N93" s="696"/>
      <c r="O93" s="696"/>
      <c r="P93" s="696"/>
      <c r="Q93" s="696"/>
      <c r="R93" s="696"/>
      <c r="S93" s="696"/>
      <c r="T93" s="696"/>
      <c r="U93" s="696"/>
    </row>
    <row r="94" spans="1:21">
      <c r="A94" s="710" t="s">
        <v>214</v>
      </c>
      <c r="B94" s="710"/>
      <c r="C94" s="710"/>
      <c r="D94" s="710"/>
      <c r="E94" s="710"/>
      <c r="F94" s="710"/>
      <c r="G94" s="76">
        <f>G47</f>
        <v>0</v>
      </c>
      <c r="H94" s="717" t="str">
        <f>H47</f>
        <v>CSC-Q0-2022</v>
      </c>
      <c r="I94" s="717"/>
      <c r="J94" s="10"/>
      <c r="K94" s="710" t="s">
        <v>214</v>
      </c>
      <c r="L94" s="710"/>
      <c r="M94" s="710"/>
      <c r="N94" s="710"/>
      <c r="O94" s="710"/>
      <c r="P94" s="710"/>
      <c r="Q94" s="710"/>
      <c r="R94" s="78">
        <f>G47</f>
        <v>0</v>
      </c>
      <c r="S94" s="717" t="str">
        <f>H47</f>
        <v>CSC-Q0-2022</v>
      </c>
      <c r="T94" s="717"/>
      <c r="U94" s="717"/>
    </row>
    <row r="95" spans="1:21" ht="14.25" customHeight="1">
      <c r="A95" s="404" t="s">
        <v>1</v>
      </c>
      <c r="B95" s="404"/>
      <c r="C95" s="404"/>
      <c r="D95" s="404"/>
      <c r="H95" s="20"/>
      <c r="I95" s="405" t="s">
        <v>215</v>
      </c>
      <c r="J95" s="405"/>
      <c r="K95" s="404" t="s">
        <v>3</v>
      </c>
      <c r="L95" s="404"/>
      <c r="M95" s="404"/>
      <c r="N95" s="404"/>
      <c r="Q95" s="20"/>
      <c r="R95" s="405" t="s">
        <v>215</v>
      </c>
      <c r="S95" s="405"/>
      <c r="T95" s="405"/>
      <c r="U95" s="405"/>
    </row>
    <row r="96" spans="1:21" ht="14.25" customHeight="1">
      <c r="A96" s="404"/>
      <c r="B96" s="404"/>
      <c r="C96" s="404"/>
      <c r="D96" s="404"/>
      <c r="G96" s="405" t="s">
        <v>258</v>
      </c>
      <c r="H96" s="405"/>
      <c r="I96" s="405"/>
      <c r="J96" s="405"/>
      <c r="K96" s="404"/>
      <c r="L96" s="404"/>
      <c r="M96" s="404"/>
      <c r="N96" s="404"/>
      <c r="P96" s="405" t="s">
        <v>259</v>
      </c>
      <c r="Q96" s="405"/>
      <c r="R96" s="405"/>
      <c r="S96" s="405"/>
      <c r="T96" s="405"/>
      <c r="U96" s="405"/>
    </row>
    <row r="97" spans="1:21" ht="14.25" customHeight="1">
      <c r="A97" s="404"/>
      <c r="B97" s="404"/>
      <c r="C97" s="404"/>
      <c r="D97" s="404"/>
      <c r="G97" s="547" t="s">
        <v>1091</v>
      </c>
      <c r="H97" s="547"/>
      <c r="I97" s="547"/>
      <c r="J97" s="547"/>
      <c r="K97" s="404"/>
      <c r="L97" s="404"/>
      <c r="M97" s="404"/>
      <c r="N97" s="404"/>
      <c r="Q97" s="547" t="s">
        <v>1091</v>
      </c>
      <c r="R97" s="547"/>
      <c r="S97" s="547"/>
      <c r="T97" s="547"/>
      <c r="U97" s="547"/>
    </row>
    <row r="98" spans="1:21" ht="14.25" customHeight="1">
      <c r="A98" s="539" t="s">
        <v>260</v>
      </c>
      <c r="B98" s="540"/>
      <c r="C98" s="540"/>
      <c r="D98" s="540"/>
      <c r="E98" s="540"/>
      <c r="F98" s="540"/>
      <c r="G98" s="540"/>
      <c r="H98" s="540"/>
      <c r="I98" s="540"/>
      <c r="J98" s="540"/>
      <c r="K98" s="695" t="s">
        <v>261</v>
      </c>
      <c r="L98" s="695"/>
      <c r="M98" s="695"/>
      <c r="N98" s="695"/>
      <c r="O98" s="695"/>
      <c r="P98" s="695"/>
      <c r="Q98" s="695"/>
      <c r="R98" s="695"/>
      <c r="S98" s="695"/>
      <c r="T98" s="695"/>
      <c r="U98" s="695"/>
    </row>
    <row r="99" spans="1:21">
      <c r="A99" s="743" t="s">
        <v>262</v>
      </c>
      <c r="B99" s="743"/>
      <c r="C99" s="743"/>
      <c r="D99" s="743"/>
      <c r="E99" s="743"/>
      <c r="F99" s="743"/>
      <c r="G99" s="743"/>
      <c r="H99" s="743"/>
      <c r="I99" s="743"/>
      <c r="K99" s="695"/>
      <c r="L99" s="695"/>
      <c r="M99" s="695"/>
      <c r="N99" s="695"/>
      <c r="O99" s="695"/>
      <c r="P99" s="695"/>
      <c r="Q99" s="695"/>
      <c r="R99" s="695"/>
      <c r="S99" s="695"/>
      <c r="T99" s="695"/>
      <c r="U99" s="695"/>
    </row>
    <row r="100" spans="1:21">
      <c r="A100" s="549" t="s">
        <v>59</v>
      </c>
      <c r="B100" s="549"/>
      <c r="C100" s="612" t="str">
        <f>'1-Questionnaire'!C19</f>
        <v>Initial</v>
      </c>
      <c r="D100" s="613"/>
      <c r="E100" s="613"/>
      <c r="F100" s="613"/>
      <c r="G100" s="613"/>
      <c r="H100" s="613"/>
      <c r="I100" s="613"/>
      <c r="J100" s="60"/>
      <c r="K100" s="695"/>
      <c r="L100" s="695"/>
      <c r="M100" s="695"/>
      <c r="N100" s="695"/>
      <c r="O100" s="695"/>
      <c r="P100" s="695"/>
      <c r="Q100" s="695"/>
      <c r="R100" s="695"/>
      <c r="S100" s="695"/>
      <c r="T100" s="695"/>
      <c r="U100" s="695"/>
    </row>
    <row r="101" spans="1:21" ht="15" customHeight="1">
      <c r="A101" s="549" t="s">
        <v>263</v>
      </c>
      <c r="B101" s="549"/>
      <c r="C101" s="167">
        <f>'2-Calc. Sheet'!I14</f>
        <v>0</v>
      </c>
      <c r="D101" s="168">
        <f>'2-Calc. Sheet'!I15</f>
        <v>0</v>
      </c>
      <c r="E101" s="549" t="s">
        <v>264</v>
      </c>
      <c r="F101" s="549"/>
      <c r="G101" s="248">
        <f>'2-Calc. Sheet'!K14</f>
        <v>0</v>
      </c>
      <c r="H101" s="248">
        <f>'2-Calc. Sheet'!K15</f>
        <v>0</v>
      </c>
      <c r="I101" s="60"/>
      <c r="K101" s="695"/>
      <c r="L101" s="695"/>
      <c r="M101" s="695"/>
      <c r="N101" s="695"/>
      <c r="O101" s="695"/>
      <c r="P101" s="695"/>
      <c r="Q101" s="695"/>
      <c r="R101" s="695"/>
      <c r="S101" s="695"/>
      <c r="T101" s="695"/>
      <c r="U101" s="695"/>
    </row>
    <row r="102" spans="1:21">
      <c r="A102" s="436" t="s">
        <v>265</v>
      </c>
      <c r="B102" s="436"/>
      <c r="C102" s="410"/>
      <c r="D102" s="411"/>
      <c r="E102" s="411"/>
      <c r="F102" s="411"/>
      <c r="G102" s="411"/>
      <c r="H102" s="411"/>
      <c r="I102" s="411"/>
      <c r="K102" s="695"/>
      <c r="L102" s="695"/>
      <c r="M102" s="695"/>
      <c r="N102" s="695"/>
      <c r="O102" s="695"/>
      <c r="P102" s="695"/>
      <c r="Q102" s="695"/>
      <c r="R102" s="695"/>
      <c r="S102" s="695"/>
      <c r="T102" s="695"/>
      <c r="U102" s="695"/>
    </row>
    <row r="103" spans="1:21">
      <c r="A103" s="549" t="s">
        <v>266</v>
      </c>
      <c r="B103" s="549"/>
      <c r="C103" s="167">
        <f>'2-Calc. Sheet'!O14</f>
        <v>0</v>
      </c>
      <c r="D103" s="168"/>
      <c r="E103" s="168"/>
      <c r="F103" s="168"/>
      <c r="G103" s="168"/>
      <c r="H103" s="168"/>
      <c r="I103" s="168"/>
      <c r="K103" s="695"/>
      <c r="L103" s="695"/>
      <c r="M103" s="695"/>
      <c r="N103" s="695"/>
      <c r="O103" s="695"/>
      <c r="P103" s="695"/>
      <c r="Q103" s="695"/>
      <c r="R103" s="695"/>
      <c r="S103" s="695"/>
      <c r="T103" s="695"/>
      <c r="U103" s="695"/>
    </row>
    <row r="104" spans="1:21">
      <c r="A104" s="549" t="s">
        <v>129</v>
      </c>
      <c r="B104" s="549"/>
      <c r="C104" s="271">
        <f>'2-Calc. Sheet'!U14</f>
        <v>0</v>
      </c>
      <c r="D104" s="267"/>
      <c r="E104" s="267"/>
      <c r="F104" s="267"/>
      <c r="G104" s="267"/>
      <c r="H104" s="267"/>
      <c r="I104" s="267"/>
      <c r="K104" s="695"/>
      <c r="L104" s="695"/>
      <c r="M104" s="695"/>
      <c r="N104" s="695"/>
      <c r="O104" s="695"/>
      <c r="P104" s="695"/>
      <c r="Q104" s="695"/>
      <c r="R104" s="695"/>
      <c r="S104" s="695"/>
      <c r="T104" s="695"/>
      <c r="U104" s="695"/>
    </row>
    <row r="105" spans="1:21">
      <c r="A105" s="549" t="s">
        <v>267</v>
      </c>
      <c r="B105" s="549"/>
      <c r="C105" s="612">
        <f>'2-Calc. Sheet'!U25</f>
        <v>0</v>
      </c>
      <c r="D105" s="613"/>
      <c r="E105" s="613"/>
      <c r="F105" s="613"/>
      <c r="G105" s="613"/>
      <c r="H105" s="613"/>
      <c r="I105" s="613"/>
      <c r="K105" s="695"/>
      <c r="L105" s="695"/>
      <c r="M105" s="695"/>
      <c r="N105" s="695"/>
      <c r="O105" s="695"/>
      <c r="P105" s="695"/>
      <c r="Q105" s="695"/>
      <c r="R105" s="695"/>
      <c r="S105" s="695"/>
      <c r="T105" s="695"/>
      <c r="U105" s="695"/>
    </row>
    <row r="106" spans="1:21">
      <c r="A106" s="549" t="s">
        <v>268</v>
      </c>
      <c r="B106" s="549"/>
      <c r="C106" s="271" t="str">
        <f>'2-Calc. Sheet'!O16</f>
        <v>No</v>
      </c>
      <c r="D106" s="267"/>
      <c r="E106" s="267"/>
      <c r="F106" s="267"/>
      <c r="G106" s="267"/>
      <c r="H106" s="267"/>
      <c r="I106" s="267"/>
      <c r="K106" s="695"/>
      <c r="L106" s="695"/>
      <c r="M106" s="695"/>
      <c r="N106" s="695"/>
      <c r="O106" s="695"/>
      <c r="P106" s="695"/>
      <c r="Q106" s="695"/>
      <c r="R106" s="695"/>
      <c r="S106" s="695"/>
      <c r="T106" s="695"/>
      <c r="U106" s="695"/>
    </row>
    <row r="107" spans="1:21">
      <c r="A107" s="549" t="s">
        <v>269</v>
      </c>
      <c r="B107" s="549"/>
      <c r="C107" s="612" t="str">
        <f>'2-Calc. Sheet'!O20</f>
        <v>Native</v>
      </c>
      <c r="D107" s="613"/>
      <c r="E107" s="613"/>
      <c r="F107" s="613"/>
      <c r="G107" s="613"/>
      <c r="H107" s="613"/>
      <c r="I107" s="613"/>
      <c r="K107" s="695"/>
      <c r="L107" s="695"/>
      <c r="M107" s="695"/>
      <c r="N107" s="695"/>
      <c r="O107" s="695"/>
      <c r="P107" s="695"/>
      <c r="Q107" s="695"/>
      <c r="R107" s="695"/>
      <c r="S107" s="695"/>
      <c r="T107" s="695"/>
      <c r="U107" s="695"/>
    </row>
    <row r="108" spans="1:21" ht="14.25" customHeight="1">
      <c r="A108" s="549" t="s">
        <v>270</v>
      </c>
      <c r="B108" s="549"/>
      <c r="C108" s="271">
        <f>'2-Calc. Sheet'!O18</f>
        <v>0</v>
      </c>
      <c r="D108" s="267"/>
      <c r="E108" s="267"/>
      <c r="F108" s="267"/>
      <c r="G108" s="267"/>
      <c r="H108" s="267"/>
      <c r="I108" s="267"/>
      <c r="K108" s="695" t="s">
        <v>271</v>
      </c>
      <c r="L108" s="695"/>
      <c r="M108" s="695"/>
      <c r="N108" s="695"/>
      <c r="O108" s="695"/>
      <c r="P108" s="695"/>
      <c r="Q108" s="695"/>
      <c r="R108" s="695"/>
      <c r="S108" s="695"/>
      <c r="T108" s="695"/>
      <c r="U108" s="695"/>
    </row>
    <row r="109" spans="1:21" ht="30">
      <c r="A109" s="549" t="s">
        <v>272</v>
      </c>
      <c r="B109" s="549"/>
      <c r="C109" s="271" t="str">
        <f>'2-Calc. Sheet'!I9</f>
        <v>Seperatly</v>
      </c>
      <c r="D109" s="267"/>
      <c r="E109" s="267"/>
      <c r="F109" s="267"/>
      <c r="G109" s="267"/>
      <c r="H109" s="267"/>
      <c r="I109" s="267"/>
      <c r="K109" s="695"/>
      <c r="L109" s="695"/>
      <c r="M109" s="695"/>
      <c r="N109" s="695"/>
      <c r="O109" s="695"/>
      <c r="P109" s="695"/>
      <c r="Q109" s="695"/>
      <c r="R109" s="695"/>
      <c r="S109" s="695"/>
      <c r="T109" s="695"/>
      <c r="U109" s="695"/>
    </row>
    <row r="110" spans="1:21">
      <c r="A110" s="436" t="s">
        <v>206</v>
      </c>
      <c r="B110" s="436"/>
      <c r="C110" s="612"/>
      <c r="D110" s="613"/>
      <c r="E110" s="613"/>
      <c r="F110" s="613"/>
      <c r="G110" s="613"/>
      <c r="H110" s="613"/>
      <c r="I110" s="613"/>
      <c r="K110" s="695"/>
      <c r="L110" s="695"/>
      <c r="M110" s="695"/>
      <c r="N110" s="695"/>
      <c r="O110" s="695"/>
      <c r="P110" s="695"/>
      <c r="Q110" s="695"/>
      <c r="R110" s="695"/>
      <c r="S110" s="695"/>
      <c r="T110" s="695"/>
      <c r="U110" s="695"/>
    </row>
    <row r="111" spans="1:21">
      <c r="K111" s="695"/>
      <c r="L111" s="695"/>
      <c r="M111" s="695"/>
      <c r="N111" s="695"/>
      <c r="O111" s="695"/>
      <c r="P111" s="695"/>
      <c r="Q111" s="695"/>
      <c r="R111" s="695"/>
      <c r="S111" s="695"/>
      <c r="T111" s="695"/>
      <c r="U111" s="695"/>
    </row>
    <row r="112" spans="1:21">
      <c r="A112" s="539" t="s">
        <v>273</v>
      </c>
      <c r="B112" s="540"/>
      <c r="C112" s="540"/>
      <c r="D112" s="540"/>
      <c r="E112" s="540"/>
      <c r="F112" s="540"/>
      <c r="G112" s="540"/>
      <c r="H112" s="540"/>
      <c r="I112" s="540"/>
      <c r="J112" s="540"/>
      <c r="K112" s="695"/>
      <c r="L112" s="695"/>
      <c r="M112" s="695"/>
      <c r="N112" s="695"/>
      <c r="O112" s="695"/>
      <c r="P112" s="695"/>
      <c r="Q112" s="695"/>
      <c r="R112" s="695"/>
      <c r="S112" s="695"/>
      <c r="T112" s="695"/>
      <c r="U112" s="695"/>
    </row>
    <row r="113" spans="1:21" ht="14.25" customHeight="1">
      <c r="A113" s="695" t="s">
        <v>274</v>
      </c>
      <c r="B113" s="695"/>
      <c r="C113" s="695"/>
      <c r="D113" s="695"/>
      <c r="E113" s="695"/>
      <c r="F113" s="695"/>
      <c r="G113" s="695"/>
      <c r="H113" s="695"/>
      <c r="I113" s="695"/>
      <c r="K113" s="695"/>
      <c r="L113" s="695"/>
      <c r="M113" s="695"/>
      <c r="N113" s="695"/>
      <c r="O113" s="695"/>
      <c r="P113" s="695"/>
      <c r="Q113" s="695"/>
      <c r="R113" s="695"/>
      <c r="S113" s="695"/>
      <c r="T113" s="695"/>
      <c r="U113" s="695"/>
    </row>
    <row r="114" spans="1:21">
      <c r="A114" s="695"/>
      <c r="B114" s="695"/>
      <c r="C114" s="695"/>
      <c r="D114" s="695"/>
      <c r="E114" s="695"/>
      <c r="F114" s="695"/>
      <c r="G114" s="695"/>
      <c r="H114" s="695"/>
      <c r="I114" s="695"/>
      <c r="K114" s="695"/>
      <c r="L114" s="695"/>
      <c r="M114" s="695"/>
      <c r="N114" s="695"/>
      <c r="O114" s="695"/>
      <c r="P114" s="695"/>
      <c r="Q114" s="695"/>
      <c r="R114" s="695"/>
      <c r="S114" s="695"/>
      <c r="T114" s="695"/>
      <c r="U114" s="695"/>
    </row>
    <row r="115" spans="1:21">
      <c r="A115" s="695"/>
      <c r="B115" s="695"/>
      <c r="C115" s="695"/>
      <c r="D115" s="695"/>
      <c r="E115" s="695"/>
      <c r="F115" s="695"/>
      <c r="G115" s="695"/>
      <c r="H115" s="695"/>
      <c r="I115" s="695"/>
      <c r="K115" s="695"/>
      <c r="L115" s="695"/>
      <c r="M115" s="695"/>
      <c r="N115" s="695"/>
      <c r="O115" s="695"/>
      <c r="P115" s="695"/>
      <c r="Q115" s="695"/>
      <c r="R115" s="695"/>
      <c r="S115" s="695"/>
      <c r="T115" s="695"/>
      <c r="U115" s="695"/>
    </row>
    <row r="116" spans="1:21">
      <c r="A116" s="695"/>
      <c r="B116" s="695"/>
      <c r="C116" s="695"/>
      <c r="D116" s="695"/>
      <c r="E116" s="695"/>
      <c r="F116" s="695"/>
      <c r="G116" s="695"/>
      <c r="H116" s="695"/>
      <c r="I116" s="695"/>
      <c r="K116" s="695"/>
      <c r="L116" s="695"/>
      <c r="M116" s="695"/>
      <c r="N116" s="695"/>
      <c r="O116" s="695"/>
      <c r="P116" s="695"/>
      <c r="Q116" s="695"/>
      <c r="R116" s="695"/>
      <c r="S116" s="695"/>
      <c r="T116" s="695"/>
      <c r="U116" s="695"/>
    </row>
    <row r="117" spans="1:21">
      <c r="A117" s="695"/>
      <c r="B117" s="695"/>
      <c r="C117" s="695"/>
      <c r="D117" s="695"/>
      <c r="E117" s="695"/>
      <c r="F117" s="695"/>
      <c r="G117" s="695"/>
      <c r="H117" s="695"/>
      <c r="I117" s="695"/>
      <c r="K117" s="695"/>
      <c r="L117" s="695"/>
      <c r="M117" s="695"/>
      <c r="N117" s="695"/>
      <c r="O117" s="695"/>
      <c r="P117" s="695"/>
      <c r="Q117" s="695"/>
      <c r="R117" s="695"/>
      <c r="S117" s="695"/>
      <c r="T117" s="695"/>
      <c r="U117" s="695"/>
    </row>
    <row r="118" spans="1:21">
      <c r="A118" s="695"/>
      <c r="B118" s="695"/>
      <c r="C118" s="695"/>
      <c r="D118" s="695"/>
      <c r="E118" s="695"/>
      <c r="F118" s="695"/>
      <c r="G118" s="695"/>
      <c r="H118" s="695"/>
      <c r="I118" s="695"/>
      <c r="K118" s="695"/>
      <c r="L118" s="695"/>
      <c r="M118" s="695"/>
      <c r="N118" s="695"/>
      <c r="O118" s="695"/>
      <c r="P118" s="695"/>
      <c r="Q118" s="695"/>
      <c r="R118" s="695"/>
      <c r="S118" s="695"/>
      <c r="T118" s="695"/>
      <c r="U118" s="695"/>
    </row>
    <row r="119" spans="1:21">
      <c r="A119" s="695"/>
      <c r="B119" s="695"/>
      <c r="C119" s="695"/>
      <c r="D119" s="695"/>
      <c r="E119" s="695"/>
      <c r="F119" s="695"/>
      <c r="G119" s="695"/>
      <c r="H119" s="695"/>
      <c r="I119" s="695"/>
      <c r="K119" s="695"/>
      <c r="L119" s="695"/>
      <c r="M119" s="695"/>
      <c r="N119" s="695"/>
      <c r="O119" s="695"/>
      <c r="P119" s="695"/>
      <c r="Q119" s="695"/>
      <c r="R119" s="695"/>
      <c r="S119" s="695"/>
      <c r="T119" s="695"/>
      <c r="U119" s="695"/>
    </row>
    <row r="120" spans="1:21">
      <c r="A120" s="695"/>
      <c r="B120" s="695"/>
      <c r="C120" s="695"/>
      <c r="D120" s="695"/>
      <c r="E120" s="695"/>
      <c r="F120" s="695"/>
      <c r="G120" s="695"/>
      <c r="H120" s="695"/>
      <c r="I120" s="695"/>
      <c r="K120" s="695"/>
      <c r="L120" s="695"/>
      <c r="M120" s="695"/>
      <c r="N120" s="695"/>
      <c r="O120" s="695"/>
      <c r="P120" s="695"/>
      <c r="Q120" s="695"/>
      <c r="R120" s="695"/>
      <c r="S120" s="695"/>
      <c r="T120" s="695"/>
      <c r="U120" s="695"/>
    </row>
    <row r="121" spans="1:21">
      <c r="A121" s="695"/>
      <c r="B121" s="695"/>
      <c r="C121" s="695"/>
      <c r="D121" s="695"/>
      <c r="E121" s="695"/>
      <c r="F121" s="695"/>
      <c r="G121" s="695"/>
      <c r="H121" s="695"/>
      <c r="I121" s="695"/>
      <c r="K121" s="695"/>
      <c r="L121" s="695"/>
      <c r="M121" s="695"/>
      <c r="N121" s="695"/>
      <c r="O121" s="695"/>
      <c r="P121" s="695"/>
      <c r="Q121" s="695"/>
      <c r="R121" s="695"/>
      <c r="S121" s="695"/>
      <c r="T121" s="695"/>
      <c r="U121" s="695"/>
    </row>
    <row r="122" spans="1:21">
      <c r="A122" s="695"/>
      <c r="B122" s="695"/>
      <c r="C122" s="695"/>
      <c r="D122" s="695"/>
      <c r="E122" s="695"/>
      <c r="F122" s="695"/>
      <c r="G122" s="695"/>
      <c r="H122" s="695"/>
      <c r="I122" s="695"/>
      <c r="K122" s="695"/>
      <c r="L122" s="695"/>
      <c r="M122" s="695"/>
      <c r="N122" s="695"/>
      <c r="O122" s="695"/>
      <c r="P122" s="695"/>
      <c r="Q122" s="695"/>
      <c r="R122" s="695"/>
      <c r="S122" s="695"/>
      <c r="T122" s="695"/>
      <c r="U122" s="695"/>
    </row>
    <row r="123" spans="1:21">
      <c r="A123" s="695"/>
      <c r="B123" s="695"/>
      <c r="C123" s="695"/>
      <c r="D123" s="695"/>
      <c r="E123" s="695"/>
      <c r="F123" s="695"/>
      <c r="G123" s="695"/>
      <c r="H123" s="695"/>
      <c r="I123" s="695"/>
      <c r="K123" s="695"/>
      <c r="L123" s="695"/>
      <c r="M123" s="695"/>
      <c r="N123" s="695"/>
      <c r="O123" s="695"/>
      <c r="P123" s="695"/>
      <c r="Q123" s="695"/>
      <c r="R123" s="695"/>
      <c r="S123" s="695"/>
      <c r="T123" s="695"/>
      <c r="U123" s="695"/>
    </row>
    <row r="124" spans="1:21">
      <c r="A124" s="695"/>
      <c r="B124" s="695"/>
      <c r="C124" s="695"/>
      <c r="D124" s="695"/>
      <c r="E124" s="695"/>
      <c r="F124" s="695"/>
      <c r="G124" s="695"/>
      <c r="H124" s="695"/>
      <c r="I124" s="695"/>
      <c r="K124" s="695"/>
      <c r="L124" s="695"/>
      <c r="M124" s="695"/>
      <c r="N124" s="695"/>
      <c r="O124" s="695"/>
      <c r="P124" s="695"/>
      <c r="Q124" s="695"/>
      <c r="R124" s="695"/>
      <c r="S124" s="695"/>
      <c r="T124" s="695"/>
      <c r="U124" s="695"/>
    </row>
    <row r="125" spans="1:21">
      <c r="A125" s="539" t="s">
        <v>275</v>
      </c>
      <c r="B125" s="540"/>
      <c r="C125" s="540"/>
      <c r="D125" s="540"/>
      <c r="E125" s="540"/>
      <c r="F125" s="540"/>
      <c r="G125" s="540"/>
      <c r="H125" s="540"/>
      <c r="I125" s="540"/>
      <c r="J125" s="540"/>
      <c r="K125" s="695"/>
      <c r="L125" s="695"/>
      <c r="M125" s="695"/>
      <c r="N125" s="695"/>
      <c r="O125" s="695"/>
      <c r="P125" s="695"/>
      <c r="Q125" s="695"/>
      <c r="R125" s="695"/>
      <c r="S125" s="695"/>
      <c r="T125" s="695"/>
      <c r="U125" s="695"/>
    </row>
    <row r="126" spans="1:21" ht="14.25" customHeight="1">
      <c r="A126" s="695" t="s">
        <v>276</v>
      </c>
      <c r="B126" s="695"/>
      <c r="C126" s="695"/>
      <c r="D126" s="695"/>
      <c r="E126" s="695"/>
      <c r="F126" s="695"/>
      <c r="G126" s="695"/>
      <c r="H126" s="695"/>
      <c r="I126" s="695"/>
      <c r="K126" s="695"/>
      <c r="L126" s="695"/>
      <c r="M126" s="695"/>
      <c r="N126" s="695"/>
      <c r="O126" s="695"/>
      <c r="P126" s="695"/>
      <c r="Q126" s="695"/>
      <c r="R126" s="695"/>
      <c r="S126" s="695"/>
      <c r="T126" s="695"/>
      <c r="U126" s="695"/>
    </row>
    <row r="127" spans="1:21">
      <c r="A127" s="695"/>
      <c r="B127" s="695"/>
      <c r="C127" s="695"/>
      <c r="D127" s="695"/>
      <c r="E127" s="695"/>
      <c r="F127" s="695"/>
      <c r="G127" s="695"/>
      <c r="H127" s="695"/>
      <c r="I127" s="695"/>
      <c r="K127" s="695"/>
      <c r="L127" s="695"/>
      <c r="M127" s="695"/>
      <c r="N127" s="695"/>
      <c r="O127" s="695"/>
      <c r="P127" s="695"/>
      <c r="Q127" s="695"/>
      <c r="R127" s="695"/>
      <c r="S127" s="695"/>
      <c r="T127" s="695"/>
      <c r="U127" s="695"/>
    </row>
    <row r="128" spans="1:21">
      <c r="A128" s="695"/>
      <c r="B128" s="695"/>
      <c r="C128" s="695"/>
      <c r="D128" s="695"/>
      <c r="E128" s="695"/>
      <c r="F128" s="695"/>
      <c r="G128" s="695"/>
      <c r="H128" s="695"/>
      <c r="I128" s="695"/>
      <c r="K128" s="695"/>
      <c r="L128" s="695"/>
      <c r="M128" s="695"/>
      <c r="N128" s="695"/>
      <c r="O128" s="695"/>
      <c r="P128" s="695"/>
      <c r="Q128" s="695"/>
      <c r="R128" s="695"/>
      <c r="S128" s="695"/>
      <c r="T128" s="695"/>
      <c r="U128" s="695"/>
    </row>
    <row r="129" spans="1:21">
      <c r="A129" s="695"/>
      <c r="B129" s="695"/>
      <c r="C129" s="695"/>
      <c r="D129" s="695"/>
      <c r="E129" s="695"/>
      <c r="F129" s="695"/>
      <c r="G129" s="695"/>
      <c r="H129" s="695"/>
      <c r="I129" s="695"/>
      <c r="K129" s="695"/>
      <c r="L129" s="695"/>
      <c r="M129" s="695"/>
      <c r="N129" s="695"/>
      <c r="O129" s="695"/>
      <c r="P129" s="695"/>
      <c r="Q129" s="695"/>
      <c r="R129" s="695"/>
      <c r="S129" s="695"/>
      <c r="T129" s="695"/>
      <c r="U129" s="695"/>
    </row>
    <row r="130" spans="1:21">
      <c r="A130" s="695"/>
      <c r="B130" s="695"/>
      <c r="C130" s="695"/>
      <c r="D130" s="695"/>
      <c r="E130" s="695"/>
      <c r="F130" s="695"/>
      <c r="G130" s="695"/>
      <c r="H130" s="695"/>
      <c r="I130" s="695"/>
      <c r="K130" s="695"/>
      <c r="L130" s="695"/>
      <c r="M130" s="695"/>
      <c r="N130" s="695"/>
      <c r="O130" s="695"/>
      <c r="P130" s="695"/>
      <c r="Q130" s="695"/>
      <c r="R130" s="695"/>
      <c r="S130" s="695"/>
      <c r="T130" s="695"/>
      <c r="U130" s="695"/>
    </row>
    <row r="131" spans="1:21">
      <c r="A131" s="695"/>
      <c r="B131" s="695"/>
      <c r="C131" s="695"/>
      <c r="D131" s="695"/>
      <c r="E131" s="695"/>
      <c r="F131" s="695"/>
      <c r="G131" s="695"/>
      <c r="H131" s="695"/>
      <c r="I131" s="695"/>
      <c r="K131" s="695"/>
      <c r="L131" s="695"/>
      <c r="M131" s="695"/>
      <c r="N131" s="695"/>
      <c r="O131" s="695"/>
      <c r="P131" s="695"/>
      <c r="Q131" s="695"/>
      <c r="R131" s="695"/>
      <c r="S131" s="695"/>
      <c r="T131" s="695"/>
      <c r="U131" s="695"/>
    </row>
    <row r="132" spans="1:21">
      <c r="A132" s="695"/>
      <c r="B132" s="695"/>
      <c r="C132" s="695"/>
      <c r="D132" s="695"/>
      <c r="E132" s="695"/>
      <c r="F132" s="695"/>
      <c r="G132" s="695"/>
      <c r="H132" s="695"/>
      <c r="I132" s="695"/>
      <c r="K132" s="695"/>
      <c r="L132" s="695"/>
      <c r="M132" s="695"/>
      <c r="N132" s="695"/>
      <c r="O132" s="695"/>
      <c r="P132" s="695"/>
      <c r="Q132" s="695"/>
      <c r="R132" s="695"/>
      <c r="S132" s="695"/>
      <c r="T132" s="695"/>
      <c r="U132" s="695"/>
    </row>
    <row r="133" spans="1:21">
      <c r="A133" s="695"/>
      <c r="B133" s="695"/>
      <c r="C133" s="695"/>
      <c r="D133" s="695"/>
      <c r="E133" s="695"/>
      <c r="F133" s="695"/>
      <c r="G133" s="695"/>
      <c r="H133" s="695"/>
      <c r="I133" s="695"/>
      <c r="K133" s="695"/>
      <c r="L133" s="695"/>
      <c r="M133" s="695"/>
      <c r="N133" s="695"/>
      <c r="O133" s="695"/>
      <c r="P133" s="695"/>
      <c r="Q133" s="695"/>
      <c r="R133" s="695"/>
      <c r="S133" s="695"/>
      <c r="T133" s="695"/>
      <c r="U133" s="695"/>
    </row>
    <row r="134" spans="1:21">
      <c r="A134" s="695"/>
      <c r="B134" s="695"/>
      <c r="C134" s="695"/>
      <c r="D134" s="695"/>
      <c r="E134" s="695"/>
      <c r="F134" s="695"/>
      <c r="G134" s="695"/>
      <c r="H134" s="695"/>
      <c r="I134" s="695"/>
      <c r="K134" s="539" t="s">
        <v>277</v>
      </c>
      <c r="L134" s="540"/>
      <c r="M134" s="540"/>
      <c r="N134" s="540"/>
      <c r="O134" s="540"/>
      <c r="P134" s="540"/>
      <c r="Q134" s="540"/>
      <c r="R134" s="540"/>
      <c r="S134" s="540"/>
      <c r="T134" s="540"/>
      <c r="U134" s="540"/>
    </row>
    <row r="135" spans="1:21">
      <c r="A135" s="695"/>
      <c r="B135" s="695"/>
      <c r="C135" s="695"/>
      <c r="D135" s="695"/>
      <c r="E135" s="695"/>
      <c r="F135" s="695"/>
      <c r="G135" s="695"/>
      <c r="H135" s="695"/>
      <c r="I135" s="695"/>
      <c r="K135" s="716" t="s">
        <v>278</v>
      </c>
      <c r="L135" s="716"/>
      <c r="M135" s="716"/>
      <c r="N135" s="716"/>
      <c r="O135" s="716"/>
      <c r="P135" s="716"/>
      <c r="Q135" s="716"/>
      <c r="R135" s="716"/>
      <c r="S135" s="716"/>
      <c r="T135" s="716"/>
      <c r="U135" s="716"/>
    </row>
    <row r="136" spans="1:21">
      <c r="A136" s="695"/>
      <c r="B136" s="695"/>
      <c r="C136" s="695"/>
      <c r="D136" s="695"/>
      <c r="E136" s="695"/>
      <c r="F136" s="695"/>
      <c r="G136" s="695"/>
      <c r="H136" s="695"/>
      <c r="I136" s="695"/>
      <c r="K136" s="716"/>
      <c r="L136" s="716"/>
      <c r="M136" s="716"/>
      <c r="N136" s="716"/>
      <c r="O136" s="716"/>
      <c r="P136" s="716"/>
      <c r="Q136" s="716"/>
      <c r="R136" s="716"/>
      <c r="S136" s="716"/>
      <c r="T136" s="716"/>
      <c r="U136" s="716"/>
    </row>
    <row r="137" spans="1:21">
      <c r="A137" s="539" t="s">
        <v>279</v>
      </c>
      <c r="B137" s="540"/>
      <c r="C137" s="540"/>
      <c r="D137" s="540"/>
      <c r="E137" s="540"/>
      <c r="F137" s="540"/>
      <c r="G137" s="540"/>
      <c r="H137" s="540"/>
      <c r="I137" s="540"/>
      <c r="J137" s="540"/>
      <c r="K137" s="716"/>
      <c r="L137" s="716"/>
      <c r="M137" s="716"/>
      <c r="N137" s="716"/>
      <c r="O137" s="716"/>
      <c r="P137" s="716"/>
      <c r="Q137" s="716"/>
      <c r="R137" s="716"/>
      <c r="S137" s="716"/>
      <c r="T137" s="716"/>
      <c r="U137" s="716"/>
    </row>
    <row r="138" spans="1:21" ht="14.25" customHeight="1">
      <c r="A138" s="695" t="s">
        <v>280</v>
      </c>
      <c r="B138" s="695"/>
      <c r="C138" s="695"/>
      <c r="D138" s="695"/>
      <c r="E138" s="695"/>
      <c r="F138" s="695"/>
      <c r="G138" s="695"/>
      <c r="H138" s="695"/>
      <c r="I138" s="695"/>
      <c r="K138" s="716"/>
      <c r="L138" s="716"/>
      <c r="M138" s="716"/>
      <c r="N138" s="716"/>
      <c r="O138" s="716"/>
      <c r="P138" s="716"/>
      <c r="Q138" s="716"/>
      <c r="R138" s="716"/>
      <c r="S138" s="716"/>
      <c r="T138" s="716"/>
      <c r="U138" s="716"/>
    </row>
    <row r="139" spans="1:21">
      <c r="A139" s="695"/>
      <c r="B139" s="695"/>
      <c r="C139" s="695"/>
      <c r="D139" s="695"/>
      <c r="E139" s="695"/>
      <c r="F139" s="695"/>
      <c r="G139" s="695"/>
      <c r="H139" s="695"/>
      <c r="I139" s="695"/>
      <c r="K139" s="716"/>
      <c r="L139" s="716"/>
      <c r="M139" s="716"/>
      <c r="N139" s="716"/>
      <c r="O139" s="716"/>
      <c r="P139" s="716"/>
      <c r="Q139" s="716"/>
      <c r="R139" s="716"/>
      <c r="S139" s="716"/>
      <c r="T139" s="716"/>
      <c r="U139" s="716"/>
    </row>
    <row r="140" spans="1:21">
      <c r="A140" s="696"/>
      <c r="B140" s="696"/>
      <c r="C140" s="696"/>
      <c r="D140" s="696"/>
      <c r="E140" s="696"/>
      <c r="F140" s="696"/>
      <c r="G140" s="696"/>
      <c r="H140" s="696"/>
      <c r="I140" s="696"/>
      <c r="K140" s="730"/>
      <c r="L140" s="730"/>
      <c r="M140" s="730"/>
      <c r="N140" s="730"/>
      <c r="O140" s="730"/>
      <c r="P140" s="730"/>
      <c r="Q140" s="730"/>
      <c r="R140" s="730"/>
      <c r="S140" s="730"/>
      <c r="T140" s="730"/>
      <c r="U140" s="730"/>
    </row>
    <row r="141" spans="1:21">
      <c r="A141" s="710" t="s">
        <v>214</v>
      </c>
      <c r="B141" s="710"/>
      <c r="C141" s="710"/>
      <c r="D141" s="710"/>
      <c r="E141" s="710"/>
      <c r="F141" s="710"/>
      <c r="G141" s="78">
        <f>G47</f>
        <v>0</v>
      </c>
      <c r="H141" s="717" t="str">
        <f>H47</f>
        <v>CSC-Q0-2022</v>
      </c>
      <c r="I141" s="717"/>
      <c r="J141" s="10"/>
      <c r="K141" s="710" t="s">
        <v>214</v>
      </c>
      <c r="L141" s="710"/>
      <c r="M141" s="710"/>
      <c r="N141" s="710"/>
      <c r="O141" s="710"/>
      <c r="P141" s="710"/>
      <c r="Q141" s="710"/>
      <c r="R141" s="76">
        <f>G47</f>
        <v>0</v>
      </c>
      <c r="S141" s="717" t="str">
        <f>H141</f>
        <v>CSC-Q0-2022</v>
      </c>
      <c r="T141" s="717"/>
      <c r="U141" s="717"/>
    </row>
    <row r="142" spans="1:21" ht="14.25" customHeight="1">
      <c r="A142" s="404" t="s">
        <v>1</v>
      </c>
      <c r="B142" s="404"/>
      <c r="C142" s="404"/>
      <c r="D142" s="404"/>
      <c r="H142" s="20"/>
      <c r="I142" s="405" t="s">
        <v>215</v>
      </c>
      <c r="J142" s="405"/>
      <c r="K142" s="404" t="s">
        <v>3</v>
      </c>
      <c r="L142" s="404"/>
      <c r="M142" s="404"/>
      <c r="N142" s="404"/>
      <c r="Q142" s="20"/>
      <c r="R142" s="405" t="s">
        <v>215</v>
      </c>
      <c r="S142" s="405"/>
      <c r="T142" s="405"/>
      <c r="U142" s="405"/>
    </row>
    <row r="143" spans="1:21" ht="14.25" customHeight="1">
      <c r="A143" s="404"/>
      <c r="B143" s="404"/>
      <c r="C143" s="404"/>
      <c r="D143" s="404"/>
      <c r="G143" s="405" t="s">
        <v>281</v>
      </c>
      <c r="H143" s="405"/>
      <c r="I143" s="405"/>
      <c r="J143" s="405"/>
      <c r="K143" s="404"/>
      <c r="L143" s="404"/>
      <c r="M143" s="404"/>
      <c r="N143" s="404"/>
      <c r="P143" s="405" t="s">
        <v>282</v>
      </c>
      <c r="Q143" s="405"/>
      <c r="R143" s="405"/>
      <c r="S143" s="405"/>
      <c r="T143" s="405"/>
      <c r="U143" s="405"/>
    </row>
    <row r="144" spans="1:21" ht="14.25" customHeight="1">
      <c r="A144" s="404"/>
      <c r="B144" s="404"/>
      <c r="C144" s="404"/>
      <c r="D144" s="404"/>
      <c r="G144" s="547" t="s">
        <v>1091</v>
      </c>
      <c r="H144" s="547"/>
      <c r="I144" s="547"/>
      <c r="J144" s="547"/>
      <c r="K144" s="404"/>
      <c r="L144" s="404"/>
      <c r="M144" s="404"/>
      <c r="N144" s="404"/>
      <c r="Q144" s="547" t="s">
        <v>1091</v>
      </c>
      <c r="R144" s="547"/>
      <c r="S144" s="547"/>
      <c r="T144" s="547"/>
      <c r="U144" s="547"/>
    </row>
    <row r="145" spans="1:21" ht="14.25" customHeight="1">
      <c r="A145" s="695" t="s">
        <v>283</v>
      </c>
      <c r="B145" s="695"/>
      <c r="C145" s="695"/>
      <c r="D145" s="695"/>
      <c r="E145" s="695"/>
      <c r="F145" s="695"/>
      <c r="G145" s="695"/>
      <c r="H145" s="695"/>
      <c r="I145" s="695"/>
      <c r="K145" s="695" t="s">
        <v>284</v>
      </c>
      <c r="L145" s="718"/>
      <c r="M145" s="718"/>
      <c r="N145" s="718"/>
      <c r="O145" s="718"/>
      <c r="P145" s="718"/>
      <c r="Q145" s="718"/>
      <c r="R145" s="718"/>
      <c r="S145" s="718"/>
      <c r="T145" s="718"/>
      <c r="U145" s="718"/>
    </row>
    <row r="146" spans="1:21">
      <c r="A146" s="695"/>
      <c r="B146" s="695"/>
      <c r="C146" s="695"/>
      <c r="D146" s="695"/>
      <c r="E146" s="695"/>
      <c r="F146" s="695"/>
      <c r="G146" s="695"/>
      <c r="H146" s="695"/>
      <c r="I146" s="695"/>
      <c r="K146" s="718"/>
      <c r="L146" s="718"/>
      <c r="M146" s="718"/>
      <c r="N146" s="718"/>
      <c r="O146" s="718"/>
      <c r="P146" s="718"/>
      <c r="Q146" s="718"/>
      <c r="R146" s="718"/>
      <c r="S146" s="718"/>
      <c r="T146" s="718"/>
      <c r="U146" s="718"/>
    </row>
    <row r="147" spans="1:21">
      <c r="A147" s="695"/>
      <c r="B147" s="695"/>
      <c r="C147" s="695"/>
      <c r="D147" s="695"/>
      <c r="E147" s="695"/>
      <c r="F147" s="695"/>
      <c r="G147" s="695"/>
      <c r="H147" s="695"/>
      <c r="I147" s="695"/>
      <c r="K147" s="718"/>
      <c r="L147" s="718"/>
      <c r="M147" s="718"/>
      <c r="N147" s="718"/>
      <c r="O147" s="718"/>
      <c r="P147" s="718"/>
      <c r="Q147" s="718"/>
      <c r="R147" s="718"/>
      <c r="S147" s="718"/>
      <c r="T147" s="718"/>
      <c r="U147" s="718"/>
    </row>
    <row r="148" spans="1:21">
      <c r="A148" s="695"/>
      <c r="B148" s="695"/>
      <c r="C148" s="695"/>
      <c r="D148" s="695"/>
      <c r="E148" s="695"/>
      <c r="F148" s="695"/>
      <c r="G148" s="695"/>
      <c r="H148" s="695"/>
      <c r="I148" s="695"/>
      <c r="K148" s="718"/>
      <c r="L148" s="718"/>
      <c r="M148" s="718"/>
      <c r="N148" s="718"/>
      <c r="O148" s="718"/>
      <c r="P148" s="718"/>
      <c r="Q148" s="718"/>
      <c r="R148" s="718"/>
      <c r="S148" s="718"/>
      <c r="T148" s="718"/>
      <c r="U148" s="718"/>
    </row>
    <row r="149" spans="1:21">
      <c r="A149" s="695"/>
      <c r="B149" s="695"/>
      <c r="C149" s="695"/>
      <c r="D149" s="695"/>
      <c r="E149" s="695"/>
      <c r="F149" s="695"/>
      <c r="G149" s="695"/>
      <c r="H149" s="695"/>
      <c r="I149" s="695"/>
      <c r="K149" s="718"/>
      <c r="L149" s="718"/>
      <c r="M149" s="718"/>
      <c r="N149" s="718"/>
      <c r="O149" s="718"/>
      <c r="P149" s="718"/>
      <c r="Q149" s="718"/>
      <c r="R149" s="718"/>
      <c r="S149" s="718"/>
      <c r="T149" s="718"/>
      <c r="U149" s="718"/>
    </row>
    <row r="150" spans="1:21">
      <c r="A150" s="695"/>
      <c r="B150" s="695"/>
      <c r="C150" s="695"/>
      <c r="D150" s="695"/>
      <c r="E150" s="695"/>
      <c r="F150" s="695"/>
      <c r="G150" s="695"/>
      <c r="H150" s="695"/>
      <c r="I150" s="695"/>
      <c r="K150" s="718"/>
      <c r="L150" s="718"/>
      <c r="M150" s="718"/>
      <c r="N150" s="718"/>
      <c r="O150" s="718"/>
      <c r="P150" s="718"/>
      <c r="Q150" s="718"/>
      <c r="R150" s="718"/>
      <c r="S150" s="718"/>
      <c r="T150" s="718"/>
      <c r="U150" s="718"/>
    </row>
    <row r="151" spans="1:21">
      <c r="A151" s="695"/>
      <c r="B151" s="695"/>
      <c r="C151" s="695"/>
      <c r="D151" s="695"/>
      <c r="E151" s="695"/>
      <c r="F151" s="695"/>
      <c r="G151" s="695"/>
      <c r="H151" s="695"/>
      <c r="I151" s="695"/>
      <c r="K151" s="539" t="s">
        <v>285</v>
      </c>
      <c r="L151" s="540"/>
      <c r="M151" s="540"/>
      <c r="N151" s="540"/>
      <c r="O151" s="540"/>
      <c r="P151" s="540"/>
      <c r="Q151" s="540"/>
      <c r="R151" s="540"/>
      <c r="S151" s="540"/>
      <c r="T151" s="540"/>
      <c r="U151" s="540"/>
    </row>
    <row r="152" spans="1:21" ht="14.25" customHeight="1">
      <c r="A152" s="695"/>
      <c r="B152" s="695"/>
      <c r="C152" s="695"/>
      <c r="D152" s="695"/>
      <c r="E152" s="695"/>
      <c r="F152" s="695"/>
      <c r="G152" s="695"/>
      <c r="H152" s="695"/>
      <c r="I152" s="695"/>
      <c r="K152" s="695" t="s">
        <v>286</v>
      </c>
      <c r="L152" s="695"/>
      <c r="M152" s="695"/>
      <c r="N152" s="695"/>
      <c r="O152" s="695"/>
      <c r="P152" s="695"/>
      <c r="Q152" s="695"/>
      <c r="R152" s="695"/>
      <c r="S152" s="695"/>
      <c r="T152" s="695"/>
      <c r="U152" s="695"/>
    </row>
    <row r="153" spans="1:21">
      <c r="A153" s="695"/>
      <c r="B153" s="695"/>
      <c r="C153" s="695"/>
      <c r="D153" s="695"/>
      <c r="E153" s="695"/>
      <c r="F153" s="695"/>
      <c r="G153" s="695"/>
      <c r="H153" s="695"/>
      <c r="I153" s="695"/>
      <c r="K153" s="695"/>
      <c r="L153" s="695"/>
      <c r="M153" s="695"/>
      <c r="N153" s="695"/>
      <c r="O153" s="695"/>
      <c r="P153" s="695"/>
      <c r="Q153" s="695"/>
      <c r="R153" s="695"/>
      <c r="S153" s="695"/>
      <c r="T153" s="695"/>
      <c r="U153" s="695"/>
    </row>
    <row r="154" spans="1:21">
      <c r="A154" s="769" t="s">
        <v>287</v>
      </c>
      <c r="B154" s="540"/>
      <c r="C154" s="540"/>
      <c r="D154" s="540"/>
      <c r="E154" s="540"/>
      <c r="F154" s="540"/>
      <c r="G154" s="540"/>
      <c r="H154" s="540"/>
      <c r="I154" s="540"/>
      <c r="J154" s="540"/>
      <c r="K154" s="695"/>
      <c r="L154" s="695"/>
      <c r="M154" s="695"/>
      <c r="N154" s="695"/>
      <c r="O154" s="695"/>
      <c r="P154" s="695"/>
      <c r="Q154" s="695"/>
      <c r="R154" s="695"/>
      <c r="S154" s="695"/>
      <c r="T154" s="695"/>
      <c r="U154" s="695"/>
    </row>
    <row r="155" spans="1:21" ht="14.25" customHeight="1">
      <c r="A155" s="695" t="s">
        <v>288</v>
      </c>
      <c r="B155" s="695"/>
      <c r="C155" s="695"/>
      <c r="D155" s="695"/>
      <c r="E155" s="695"/>
      <c r="F155" s="695"/>
      <c r="G155" s="695"/>
      <c r="H155" s="695"/>
      <c r="I155" s="695"/>
      <c r="K155" s="695"/>
      <c r="L155" s="695"/>
      <c r="M155" s="695"/>
      <c r="N155" s="695"/>
      <c r="O155" s="695"/>
      <c r="P155" s="695"/>
      <c r="Q155" s="695"/>
      <c r="R155" s="695"/>
      <c r="S155" s="695"/>
      <c r="T155" s="695"/>
      <c r="U155" s="695"/>
    </row>
    <row r="156" spans="1:21">
      <c r="A156" s="695"/>
      <c r="B156" s="695"/>
      <c r="C156" s="695"/>
      <c r="D156" s="695"/>
      <c r="E156" s="695"/>
      <c r="F156" s="695"/>
      <c r="G156" s="695"/>
      <c r="H156" s="695"/>
      <c r="I156" s="695"/>
      <c r="K156" s="695"/>
      <c r="L156" s="695"/>
      <c r="M156" s="695"/>
      <c r="N156" s="695"/>
      <c r="O156" s="695"/>
      <c r="P156" s="695"/>
      <c r="Q156" s="695"/>
      <c r="R156" s="695"/>
      <c r="S156" s="695"/>
      <c r="T156" s="695"/>
      <c r="U156" s="695"/>
    </row>
    <row r="157" spans="1:21">
      <c r="A157" s="695"/>
      <c r="B157" s="695"/>
      <c r="C157" s="695"/>
      <c r="D157" s="695"/>
      <c r="E157" s="695"/>
      <c r="F157" s="695"/>
      <c r="G157" s="695"/>
      <c r="H157" s="695"/>
      <c r="I157" s="695"/>
      <c r="K157" s="695"/>
      <c r="L157" s="695"/>
      <c r="M157" s="695"/>
      <c r="N157" s="695"/>
      <c r="O157" s="695"/>
      <c r="P157" s="695"/>
      <c r="Q157" s="695"/>
      <c r="R157" s="695"/>
      <c r="S157" s="695"/>
      <c r="T157" s="695"/>
      <c r="U157" s="695"/>
    </row>
    <row r="158" spans="1:21">
      <c r="A158" s="695"/>
      <c r="B158" s="695"/>
      <c r="C158" s="695"/>
      <c r="D158" s="695"/>
      <c r="E158" s="695"/>
      <c r="F158" s="695"/>
      <c r="G158" s="695"/>
      <c r="H158" s="695"/>
      <c r="I158" s="695"/>
      <c r="K158" s="695"/>
      <c r="L158" s="695"/>
      <c r="M158" s="695"/>
      <c r="N158" s="695"/>
      <c r="O158" s="695"/>
      <c r="P158" s="695"/>
      <c r="Q158" s="695"/>
      <c r="R158" s="695"/>
      <c r="S158" s="695"/>
      <c r="T158" s="695"/>
      <c r="U158" s="695"/>
    </row>
    <row r="159" spans="1:21">
      <c r="A159" s="695"/>
      <c r="B159" s="695"/>
      <c r="C159" s="695"/>
      <c r="D159" s="695"/>
      <c r="E159" s="695"/>
      <c r="F159" s="695"/>
      <c r="G159" s="695"/>
      <c r="H159" s="695"/>
      <c r="I159" s="695"/>
      <c r="K159" s="695"/>
      <c r="L159" s="695"/>
      <c r="M159" s="695"/>
      <c r="N159" s="695"/>
      <c r="O159" s="695"/>
      <c r="P159" s="695"/>
      <c r="Q159" s="695"/>
      <c r="R159" s="695"/>
      <c r="S159" s="695"/>
      <c r="T159" s="695"/>
      <c r="U159" s="695"/>
    </row>
    <row r="160" spans="1:21">
      <c r="A160" s="695"/>
      <c r="B160" s="695"/>
      <c r="C160" s="695"/>
      <c r="D160" s="695"/>
      <c r="E160" s="695"/>
      <c r="F160" s="695"/>
      <c r="G160" s="695"/>
      <c r="H160" s="695"/>
      <c r="I160" s="695"/>
      <c r="K160" s="695"/>
      <c r="L160" s="695"/>
      <c r="M160" s="695"/>
      <c r="N160" s="695"/>
      <c r="O160" s="695"/>
      <c r="P160" s="695"/>
      <c r="Q160" s="695"/>
      <c r="R160" s="695"/>
      <c r="S160" s="695"/>
      <c r="T160" s="695"/>
      <c r="U160" s="695"/>
    </row>
    <row r="161" spans="1:21" ht="14.25" customHeight="1">
      <c r="A161" s="724" t="s">
        <v>289</v>
      </c>
      <c r="B161" s="724"/>
      <c r="C161" s="724"/>
      <c r="D161" s="724"/>
      <c r="E161" s="724" t="s">
        <v>290</v>
      </c>
      <c r="F161" s="724"/>
      <c r="G161" s="724"/>
      <c r="H161" s="724"/>
      <c r="I161" s="724"/>
      <c r="K161" s="695"/>
      <c r="L161" s="695"/>
      <c r="M161" s="695"/>
      <c r="N161" s="695"/>
      <c r="O161" s="695"/>
      <c r="P161" s="695"/>
      <c r="Q161" s="695"/>
      <c r="R161" s="695"/>
      <c r="S161" s="695"/>
      <c r="T161" s="695"/>
      <c r="U161" s="695"/>
    </row>
    <row r="162" spans="1:21" ht="14.25" customHeight="1">
      <c r="A162" s="725"/>
      <c r="B162" s="725"/>
      <c r="C162" s="725"/>
      <c r="D162" s="725"/>
      <c r="E162" s="725"/>
      <c r="F162" s="725"/>
      <c r="G162" s="725"/>
      <c r="H162" s="725"/>
      <c r="I162" s="725"/>
      <c r="K162" s="695"/>
      <c r="L162" s="695"/>
      <c r="M162" s="695"/>
      <c r="N162" s="695"/>
      <c r="O162" s="695"/>
      <c r="P162" s="695"/>
      <c r="Q162" s="695"/>
      <c r="R162" s="695"/>
      <c r="S162" s="695"/>
      <c r="T162" s="695"/>
      <c r="U162" s="695"/>
    </row>
    <row r="163" spans="1:21">
      <c r="A163" s="707" t="s">
        <v>291</v>
      </c>
      <c r="B163" s="708"/>
      <c r="C163" s="708"/>
      <c r="D163" s="726"/>
      <c r="E163" s="707" t="s">
        <v>292</v>
      </c>
      <c r="F163" s="708"/>
      <c r="G163" s="708"/>
      <c r="H163" s="708"/>
      <c r="I163" s="726"/>
      <c r="K163" s="695"/>
      <c r="L163" s="695"/>
      <c r="M163" s="695"/>
      <c r="N163" s="695"/>
      <c r="O163" s="695"/>
      <c r="P163" s="695"/>
      <c r="Q163" s="695"/>
      <c r="R163" s="695"/>
      <c r="S163" s="695"/>
      <c r="T163" s="695"/>
      <c r="U163" s="695"/>
    </row>
    <row r="164" spans="1:21" ht="14.25" customHeight="1">
      <c r="A164" s="727" t="s">
        <v>293</v>
      </c>
      <c r="B164" s="695"/>
      <c r="C164" s="695"/>
      <c r="D164" s="728"/>
      <c r="E164" s="727" t="s">
        <v>294</v>
      </c>
      <c r="F164" s="695"/>
      <c r="G164" s="695"/>
      <c r="H164" s="695"/>
      <c r="I164" s="728"/>
      <c r="K164" s="695"/>
      <c r="L164" s="695"/>
      <c r="M164" s="695"/>
      <c r="N164" s="695"/>
      <c r="O164" s="695"/>
      <c r="P164" s="695"/>
      <c r="Q164" s="695"/>
      <c r="R164" s="695"/>
      <c r="S164" s="695"/>
      <c r="T164" s="695"/>
      <c r="U164" s="695"/>
    </row>
    <row r="165" spans="1:21" ht="14.25" customHeight="1">
      <c r="A165" s="727" t="s">
        <v>295</v>
      </c>
      <c r="B165" s="695"/>
      <c r="C165" s="695"/>
      <c r="D165" s="728"/>
      <c r="E165" s="727" t="s">
        <v>296</v>
      </c>
      <c r="F165" s="695"/>
      <c r="G165" s="695"/>
      <c r="H165" s="695"/>
      <c r="I165" s="728"/>
      <c r="K165" s="695"/>
      <c r="L165" s="695"/>
      <c r="M165" s="695"/>
      <c r="N165" s="695"/>
      <c r="O165" s="695"/>
      <c r="P165" s="695"/>
      <c r="Q165" s="695"/>
      <c r="R165" s="695"/>
      <c r="S165" s="695"/>
      <c r="T165" s="695"/>
      <c r="U165" s="695"/>
    </row>
    <row r="166" spans="1:21">
      <c r="A166" s="727" t="s">
        <v>297</v>
      </c>
      <c r="B166" s="695"/>
      <c r="C166" s="695"/>
      <c r="D166" s="728"/>
      <c r="E166" s="727"/>
      <c r="F166" s="695"/>
      <c r="G166" s="695"/>
      <c r="H166" s="695"/>
      <c r="I166" s="728"/>
      <c r="K166" s="695"/>
      <c r="L166" s="695"/>
      <c r="M166" s="695"/>
      <c r="N166" s="695"/>
      <c r="O166" s="695"/>
      <c r="P166" s="695"/>
      <c r="Q166" s="695"/>
      <c r="R166" s="695"/>
      <c r="S166" s="695"/>
      <c r="T166" s="695"/>
      <c r="U166" s="695"/>
    </row>
    <row r="167" spans="1:21">
      <c r="A167" s="727" t="s">
        <v>298</v>
      </c>
      <c r="B167" s="695"/>
      <c r="C167" s="695"/>
      <c r="D167" s="728"/>
      <c r="E167" s="727" t="s">
        <v>299</v>
      </c>
      <c r="F167" s="695"/>
      <c r="G167" s="695"/>
      <c r="H167" s="695"/>
      <c r="I167" s="728"/>
      <c r="K167" s="695"/>
      <c r="L167" s="695"/>
      <c r="M167" s="695"/>
      <c r="N167" s="695"/>
      <c r="O167" s="695"/>
      <c r="P167" s="695"/>
      <c r="Q167" s="695"/>
      <c r="R167" s="695"/>
      <c r="S167" s="695"/>
      <c r="T167" s="695"/>
      <c r="U167" s="695"/>
    </row>
    <row r="168" spans="1:21">
      <c r="A168" s="727" t="s">
        <v>300</v>
      </c>
      <c r="B168" s="695"/>
      <c r="C168" s="695"/>
      <c r="D168" s="728"/>
      <c r="E168" s="727" t="s">
        <v>301</v>
      </c>
      <c r="F168" s="695"/>
      <c r="G168" s="695"/>
      <c r="H168" s="695"/>
      <c r="I168" s="728"/>
      <c r="K168" s="695"/>
      <c r="L168" s="695"/>
      <c r="M168" s="695"/>
      <c r="N168" s="695"/>
      <c r="O168" s="695"/>
      <c r="P168" s="695"/>
      <c r="Q168" s="695"/>
      <c r="R168" s="695"/>
      <c r="S168" s="695"/>
      <c r="T168" s="695"/>
      <c r="U168" s="695"/>
    </row>
    <row r="169" spans="1:21">
      <c r="A169" s="727" t="s">
        <v>302</v>
      </c>
      <c r="B169" s="695"/>
      <c r="C169" s="695"/>
      <c r="D169" s="728"/>
      <c r="E169" s="727" t="s">
        <v>300</v>
      </c>
      <c r="F169" s="695"/>
      <c r="G169" s="695"/>
      <c r="H169" s="695"/>
      <c r="I169" s="728"/>
      <c r="K169" s="695"/>
      <c r="L169" s="695"/>
      <c r="M169" s="695"/>
      <c r="N169" s="695"/>
      <c r="O169" s="695"/>
      <c r="P169" s="695"/>
      <c r="Q169" s="695"/>
      <c r="R169" s="695"/>
      <c r="S169" s="695"/>
      <c r="T169" s="695"/>
      <c r="U169" s="695"/>
    </row>
    <row r="170" spans="1:21">
      <c r="A170" s="727" t="s">
        <v>303</v>
      </c>
      <c r="B170" s="695"/>
      <c r="C170" s="695"/>
      <c r="D170" s="728"/>
      <c r="E170" s="727" t="s">
        <v>304</v>
      </c>
      <c r="F170" s="695"/>
      <c r="G170" s="695"/>
      <c r="H170" s="695"/>
      <c r="I170" s="728"/>
      <c r="K170" s="695"/>
      <c r="L170" s="695"/>
      <c r="M170" s="695"/>
      <c r="N170" s="695"/>
      <c r="O170" s="695"/>
      <c r="P170" s="695"/>
      <c r="Q170" s="695"/>
      <c r="R170" s="695"/>
      <c r="S170" s="695"/>
      <c r="T170" s="695"/>
      <c r="U170" s="695"/>
    </row>
    <row r="171" spans="1:21" ht="14.25" customHeight="1">
      <c r="A171" s="709"/>
      <c r="B171" s="696"/>
      <c r="C171" s="696"/>
      <c r="D171" s="729"/>
      <c r="E171" s="709"/>
      <c r="F171" s="696"/>
      <c r="G171" s="696"/>
      <c r="H171" s="696"/>
      <c r="I171" s="729"/>
      <c r="K171" s="695"/>
      <c r="L171" s="695"/>
      <c r="M171" s="695"/>
      <c r="N171" s="695"/>
      <c r="O171" s="695"/>
      <c r="P171" s="695"/>
      <c r="Q171" s="695"/>
      <c r="R171" s="695"/>
      <c r="S171" s="695"/>
      <c r="T171" s="695"/>
      <c r="U171" s="695"/>
    </row>
    <row r="172" spans="1:21">
      <c r="A172" s="539" t="s">
        <v>305</v>
      </c>
      <c r="B172" s="540"/>
      <c r="C172" s="540"/>
      <c r="D172" s="540"/>
      <c r="E172" s="540"/>
      <c r="F172" s="540"/>
      <c r="G172" s="540"/>
      <c r="H172" s="540"/>
      <c r="I172" s="540"/>
      <c r="J172" s="540"/>
      <c r="K172" s="695"/>
      <c r="L172" s="695"/>
      <c r="M172" s="695"/>
      <c r="N172" s="695"/>
      <c r="O172" s="695"/>
      <c r="P172" s="695"/>
      <c r="Q172" s="695"/>
      <c r="R172" s="695"/>
      <c r="S172" s="695"/>
      <c r="T172" s="695"/>
      <c r="U172" s="695"/>
    </row>
    <row r="173" spans="1:21" ht="14.25" customHeight="1">
      <c r="A173" s="695" t="s">
        <v>306</v>
      </c>
      <c r="B173" s="695"/>
      <c r="C173" s="695"/>
      <c r="D173" s="695"/>
      <c r="E173" s="695"/>
      <c r="F173" s="695"/>
      <c r="G173" s="695"/>
      <c r="H173" s="695"/>
      <c r="I173" s="695"/>
      <c r="K173" s="695"/>
      <c r="L173" s="695"/>
      <c r="M173" s="695"/>
      <c r="N173" s="695"/>
      <c r="O173" s="695"/>
      <c r="P173" s="695"/>
      <c r="Q173" s="695"/>
      <c r="R173" s="695"/>
      <c r="S173" s="695"/>
      <c r="T173" s="695"/>
      <c r="U173" s="695"/>
    </row>
    <row r="174" spans="1:21">
      <c r="A174" s="695"/>
      <c r="B174" s="695"/>
      <c r="C174" s="695"/>
      <c r="D174" s="695"/>
      <c r="E174" s="695"/>
      <c r="F174" s="695"/>
      <c r="G174" s="695"/>
      <c r="H174" s="695"/>
      <c r="I174" s="695"/>
      <c r="K174" s="539" t="s">
        <v>307</v>
      </c>
      <c r="L174" s="540"/>
      <c r="M174" s="540"/>
      <c r="N174" s="540"/>
      <c r="O174" s="540"/>
      <c r="P174" s="540"/>
      <c r="Q174" s="540"/>
      <c r="R174" s="540"/>
      <c r="S174" s="540"/>
      <c r="T174" s="540"/>
      <c r="U174" s="540"/>
    </row>
    <row r="175" spans="1:21">
      <c r="A175" s="695"/>
      <c r="B175" s="695"/>
      <c r="C175" s="695"/>
      <c r="D175" s="695"/>
      <c r="E175" s="695"/>
      <c r="F175" s="695"/>
      <c r="G175" s="695"/>
      <c r="H175" s="695"/>
      <c r="I175" s="695"/>
      <c r="K175" s="695" t="s">
        <v>308</v>
      </c>
      <c r="L175" s="695"/>
      <c r="M175" s="695"/>
      <c r="N175" s="695"/>
      <c r="O175" s="695"/>
      <c r="P175" s="695"/>
      <c r="Q175" s="695"/>
      <c r="R175" s="695"/>
      <c r="S175" s="695"/>
      <c r="T175" s="695"/>
      <c r="U175" s="695"/>
    </row>
    <row r="176" spans="1:21">
      <c r="A176" s="695"/>
      <c r="B176" s="695"/>
      <c r="C176" s="695"/>
      <c r="D176" s="695"/>
      <c r="E176" s="695"/>
      <c r="F176" s="695"/>
      <c r="G176" s="695"/>
      <c r="H176" s="695"/>
      <c r="I176" s="695"/>
      <c r="K176" s="695"/>
      <c r="L176" s="695"/>
      <c r="M176" s="695"/>
      <c r="N176" s="695"/>
      <c r="O176" s="695"/>
      <c r="P176" s="695"/>
      <c r="Q176" s="695"/>
      <c r="R176" s="695"/>
      <c r="S176" s="695"/>
      <c r="T176" s="695"/>
      <c r="U176" s="695"/>
    </row>
    <row r="177" spans="1:21">
      <c r="A177" s="695"/>
      <c r="B177" s="695"/>
      <c r="C177" s="695"/>
      <c r="D177" s="695"/>
      <c r="E177" s="695"/>
      <c r="F177" s="695"/>
      <c r="G177" s="695"/>
      <c r="H177" s="695"/>
      <c r="I177" s="695"/>
      <c r="K177" s="695"/>
      <c r="L177" s="695"/>
      <c r="M177" s="695"/>
      <c r="N177" s="695"/>
      <c r="O177" s="695"/>
      <c r="P177" s="695"/>
      <c r="Q177" s="695"/>
      <c r="R177" s="695"/>
      <c r="S177" s="695"/>
      <c r="T177" s="695"/>
      <c r="U177" s="695"/>
    </row>
    <row r="178" spans="1:21">
      <c r="A178" s="695"/>
      <c r="B178" s="695"/>
      <c r="C178" s="695"/>
      <c r="D178" s="695"/>
      <c r="E178" s="695"/>
      <c r="F178" s="695"/>
      <c r="G178" s="695"/>
      <c r="H178" s="695"/>
      <c r="I178" s="695"/>
      <c r="K178" s="695"/>
      <c r="L178" s="695"/>
      <c r="M178" s="695"/>
      <c r="N178" s="695"/>
      <c r="O178" s="695"/>
      <c r="P178" s="695"/>
      <c r="Q178" s="695"/>
      <c r="R178" s="695"/>
      <c r="S178" s="695"/>
      <c r="T178" s="695"/>
      <c r="U178" s="695"/>
    </row>
    <row r="179" spans="1:21">
      <c r="A179" s="695"/>
      <c r="B179" s="695"/>
      <c r="C179" s="695"/>
      <c r="D179" s="695"/>
      <c r="E179" s="695"/>
      <c r="F179" s="695"/>
      <c r="G179" s="695"/>
      <c r="H179" s="695"/>
      <c r="I179" s="695"/>
      <c r="K179" s="695"/>
      <c r="L179" s="695"/>
      <c r="M179" s="695"/>
      <c r="N179" s="695"/>
      <c r="O179" s="695"/>
      <c r="P179" s="695"/>
      <c r="Q179" s="695"/>
      <c r="R179" s="695"/>
      <c r="S179" s="695"/>
      <c r="T179" s="695"/>
      <c r="U179" s="695"/>
    </row>
    <row r="180" spans="1:21">
      <c r="A180" s="695"/>
      <c r="B180" s="695"/>
      <c r="C180" s="695"/>
      <c r="D180" s="695"/>
      <c r="E180" s="695"/>
      <c r="F180" s="695"/>
      <c r="G180" s="695"/>
      <c r="H180" s="695"/>
      <c r="I180" s="695"/>
      <c r="K180" s="695"/>
      <c r="L180" s="695"/>
      <c r="M180" s="695"/>
      <c r="N180" s="695"/>
      <c r="O180" s="695"/>
      <c r="P180" s="695"/>
      <c r="Q180" s="695"/>
      <c r="R180" s="695"/>
      <c r="S180" s="695"/>
      <c r="T180" s="695"/>
      <c r="U180" s="695"/>
    </row>
    <row r="181" spans="1:21">
      <c r="A181" s="695"/>
      <c r="B181" s="695"/>
      <c r="C181" s="695"/>
      <c r="D181" s="695"/>
      <c r="E181" s="695"/>
      <c r="F181" s="695"/>
      <c r="G181" s="695"/>
      <c r="H181" s="695"/>
      <c r="I181" s="695"/>
      <c r="K181" s="695"/>
      <c r="L181" s="695"/>
      <c r="M181" s="695"/>
      <c r="N181" s="695"/>
      <c r="O181" s="695"/>
      <c r="P181" s="695"/>
      <c r="Q181" s="695"/>
      <c r="R181" s="695"/>
      <c r="S181" s="695"/>
      <c r="T181" s="695"/>
      <c r="U181" s="695"/>
    </row>
    <row r="182" spans="1:21">
      <c r="A182" s="695"/>
      <c r="B182" s="695"/>
      <c r="C182" s="695"/>
      <c r="D182" s="695"/>
      <c r="E182" s="695"/>
      <c r="F182" s="695"/>
      <c r="G182" s="695"/>
      <c r="H182" s="695"/>
      <c r="I182" s="695"/>
      <c r="K182" s="695"/>
      <c r="L182" s="695"/>
      <c r="M182" s="695"/>
      <c r="N182" s="695"/>
      <c r="O182" s="695"/>
      <c r="P182" s="695"/>
      <c r="Q182" s="695"/>
      <c r="R182" s="695"/>
      <c r="S182" s="695"/>
      <c r="T182" s="695"/>
      <c r="U182" s="695"/>
    </row>
    <row r="183" spans="1:21">
      <c r="A183" s="539" t="s">
        <v>309</v>
      </c>
      <c r="B183" s="540"/>
      <c r="C183" s="540"/>
      <c r="D183" s="540"/>
      <c r="E183" s="540"/>
      <c r="F183" s="540"/>
      <c r="G183" s="540"/>
      <c r="H183" s="540"/>
      <c r="I183" s="540"/>
      <c r="J183" s="540"/>
      <c r="K183" s="695"/>
      <c r="L183" s="695"/>
      <c r="M183" s="695"/>
      <c r="N183" s="695"/>
      <c r="O183" s="695"/>
      <c r="P183" s="695"/>
      <c r="Q183" s="695"/>
      <c r="R183" s="695"/>
      <c r="S183" s="695"/>
      <c r="T183" s="695"/>
      <c r="U183" s="695"/>
    </row>
    <row r="184" spans="1:21">
      <c r="A184" s="695" t="s">
        <v>310</v>
      </c>
      <c r="B184" s="695"/>
      <c r="C184" s="695"/>
      <c r="D184" s="695"/>
      <c r="E184" s="695"/>
      <c r="F184" s="695"/>
      <c r="G184" s="695"/>
      <c r="H184" s="695"/>
      <c r="I184" s="695"/>
      <c r="K184" s="695"/>
      <c r="L184" s="695"/>
      <c r="M184" s="695"/>
      <c r="N184" s="695"/>
      <c r="O184" s="695"/>
      <c r="P184" s="695"/>
      <c r="Q184" s="695"/>
      <c r="R184" s="695"/>
      <c r="S184" s="695"/>
      <c r="T184" s="695"/>
      <c r="U184" s="695"/>
    </row>
    <row r="185" spans="1:21">
      <c r="A185" s="695"/>
      <c r="B185" s="695"/>
      <c r="C185" s="695"/>
      <c r="D185" s="695"/>
      <c r="E185" s="695"/>
      <c r="F185" s="695"/>
      <c r="G185" s="695"/>
      <c r="H185" s="695"/>
      <c r="I185" s="695"/>
      <c r="K185" s="695"/>
      <c r="L185" s="695"/>
      <c r="M185" s="695"/>
      <c r="N185" s="695"/>
      <c r="O185" s="695"/>
      <c r="P185" s="695"/>
      <c r="Q185" s="695"/>
      <c r="R185" s="695"/>
      <c r="S185" s="695"/>
      <c r="T185" s="695"/>
      <c r="U185" s="695"/>
    </row>
    <row r="186" spans="1:21">
      <c r="A186" s="695"/>
      <c r="B186" s="695"/>
      <c r="C186" s="695"/>
      <c r="D186" s="695"/>
      <c r="E186" s="695"/>
      <c r="F186" s="695"/>
      <c r="G186" s="695"/>
      <c r="H186" s="695"/>
      <c r="I186" s="695"/>
      <c r="K186" s="695"/>
      <c r="L186" s="695"/>
      <c r="M186" s="695"/>
      <c r="N186" s="695"/>
      <c r="O186" s="695"/>
      <c r="P186" s="695"/>
      <c r="Q186" s="695"/>
      <c r="R186" s="695"/>
      <c r="S186" s="695"/>
      <c r="T186" s="695"/>
      <c r="U186" s="695"/>
    </row>
    <row r="187" spans="1:21">
      <c r="A187" s="696"/>
      <c r="B187" s="696"/>
      <c r="C187" s="696"/>
      <c r="D187" s="696"/>
      <c r="E187" s="696"/>
      <c r="F187" s="696"/>
      <c r="G187" s="696"/>
      <c r="H187" s="696"/>
      <c r="I187" s="696"/>
      <c r="K187" s="695"/>
      <c r="L187" s="695"/>
      <c r="M187" s="695"/>
      <c r="N187" s="695"/>
      <c r="O187" s="695"/>
      <c r="P187" s="695"/>
      <c r="Q187" s="695"/>
      <c r="R187" s="695"/>
      <c r="S187" s="695"/>
      <c r="T187" s="695"/>
      <c r="U187" s="695"/>
    </row>
    <row r="188" spans="1:21">
      <c r="A188" s="723" t="s">
        <v>214</v>
      </c>
      <c r="B188" s="723"/>
      <c r="C188" s="723"/>
      <c r="D188" s="723"/>
      <c r="E188" s="723"/>
      <c r="F188" s="723"/>
      <c r="G188" s="76">
        <f>G47</f>
        <v>0</v>
      </c>
      <c r="H188" s="717" t="str">
        <f>H141</f>
        <v>CSC-Q0-2022</v>
      </c>
      <c r="I188" s="717"/>
      <c r="J188" s="717"/>
      <c r="K188" s="710" t="s">
        <v>214</v>
      </c>
      <c r="L188" s="710"/>
      <c r="M188" s="710"/>
      <c r="N188" s="710"/>
      <c r="O188" s="710"/>
      <c r="P188" s="710"/>
      <c r="Q188" s="710"/>
      <c r="R188" s="78">
        <f>G47</f>
        <v>0</v>
      </c>
      <c r="S188" s="717" t="str">
        <f>H141</f>
        <v>CSC-Q0-2022</v>
      </c>
      <c r="T188" s="717"/>
      <c r="U188" s="717"/>
    </row>
    <row r="189" spans="1:21">
      <c r="A189" s="404" t="s">
        <v>1</v>
      </c>
      <c r="B189" s="404"/>
      <c r="C189" s="404"/>
      <c r="D189" s="404"/>
      <c r="H189" s="20"/>
      <c r="I189" s="405" t="s">
        <v>215</v>
      </c>
      <c r="J189" s="405"/>
      <c r="K189" s="404" t="s">
        <v>3</v>
      </c>
      <c r="L189" s="404"/>
      <c r="M189" s="404"/>
      <c r="N189" s="404"/>
      <c r="Q189" s="20"/>
      <c r="R189" s="405" t="s">
        <v>215</v>
      </c>
      <c r="S189" s="405"/>
      <c r="T189" s="405"/>
      <c r="U189" s="405"/>
    </row>
    <row r="190" spans="1:21">
      <c r="A190" s="404"/>
      <c r="B190" s="404"/>
      <c r="C190" s="404"/>
      <c r="D190" s="404"/>
      <c r="G190" s="405" t="s">
        <v>311</v>
      </c>
      <c r="H190" s="405"/>
      <c r="I190" s="405"/>
      <c r="J190" s="405"/>
      <c r="K190" s="404"/>
      <c r="L190" s="404"/>
      <c r="M190" s="404"/>
      <c r="N190" s="404"/>
      <c r="P190" s="405" t="s">
        <v>312</v>
      </c>
      <c r="Q190" s="405"/>
      <c r="R190" s="405"/>
      <c r="S190" s="405"/>
      <c r="T190" s="405"/>
      <c r="U190" s="405"/>
    </row>
    <row r="191" spans="1:21">
      <c r="A191" s="404"/>
      <c r="B191" s="404"/>
      <c r="C191" s="404"/>
      <c r="D191" s="404"/>
      <c r="G191" s="547" t="s">
        <v>1091</v>
      </c>
      <c r="H191" s="547"/>
      <c r="I191" s="547"/>
      <c r="J191" s="547"/>
      <c r="K191" s="404"/>
      <c r="L191" s="404"/>
      <c r="M191" s="404"/>
      <c r="N191" s="404"/>
      <c r="Q191" s="547" t="s">
        <v>1091</v>
      </c>
      <c r="R191" s="547"/>
      <c r="S191" s="547"/>
      <c r="T191" s="547"/>
      <c r="U191" s="547"/>
    </row>
    <row r="192" spans="1:21" ht="14.25" customHeight="1">
      <c r="A192" s="695" t="s">
        <v>313</v>
      </c>
      <c r="B192" s="695"/>
      <c r="C192" s="695"/>
      <c r="D192" s="695"/>
      <c r="E192" s="695"/>
      <c r="F192" s="695"/>
      <c r="G192" s="695"/>
      <c r="H192" s="695"/>
      <c r="I192" s="695"/>
      <c r="K192" s="695" t="s">
        <v>314</v>
      </c>
      <c r="L192" s="695"/>
      <c r="M192" s="695"/>
      <c r="N192" s="695"/>
      <c r="O192" s="695"/>
      <c r="P192" s="695"/>
      <c r="Q192" s="695"/>
      <c r="R192" s="695"/>
      <c r="S192" s="695"/>
      <c r="T192" s="695"/>
      <c r="U192" s="695"/>
    </row>
    <row r="193" spans="1:21">
      <c r="A193" s="695"/>
      <c r="B193" s="695"/>
      <c r="C193" s="695"/>
      <c r="D193" s="695"/>
      <c r="E193" s="695"/>
      <c r="F193" s="695"/>
      <c r="G193" s="695"/>
      <c r="H193" s="695"/>
      <c r="I193" s="695"/>
      <c r="K193" s="695"/>
      <c r="L193" s="695"/>
      <c r="M193" s="695"/>
      <c r="N193" s="695"/>
      <c r="O193" s="695"/>
      <c r="P193" s="695"/>
      <c r="Q193" s="695"/>
      <c r="R193" s="695"/>
      <c r="S193" s="695"/>
      <c r="T193" s="695"/>
      <c r="U193" s="695"/>
    </row>
    <row r="194" spans="1:21">
      <c r="A194" s="695"/>
      <c r="B194" s="695"/>
      <c r="C194" s="695"/>
      <c r="D194" s="695"/>
      <c r="E194" s="695"/>
      <c r="F194" s="695"/>
      <c r="G194" s="695"/>
      <c r="H194" s="695"/>
      <c r="I194" s="695"/>
      <c r="K194" s="695"/>
      <c r="L194" s="695"/>
      <c r="M194" s="695"/>
      <c r="N194" s="695"/>
      <c r="O194" s="695"/>
      <c r="P194" s="695"/>
      <c r="Q194" s="695"/>
      <c r="R194" s="695"/>
      <c r="S194" s="695"/>
      <c r="T194" s="695"/>
      <c r="U194" s="695"/>
    </row>
    <row r="195" spans="1:21">
      <c r="A195" s="695"/>
      <c r="B195" s="695"/>
      <c r="C195" s="695"/>
      <c r="D195" s="695"/>
      <c r="E195" s="695"/>
      <c r="F195" s="695"/>
      <c r="G195" s="695"/>
      <c r="H195" s="695"/>
      <c r="I195" s="695"/>
      <c r="K195" s="695"/>
      <c r="L195" s="695"/>
      <c r="M195" s="695"/>
      <c r="N195" s="695"/>
      <c r="O195" s="695"/>
      <c r="P195" s="695"/>
      <c r="Q195" s="695"/>
      <c r="R195" s="695"/>
      <c r="S195" s="695"/>
      <c r="T195" s="695"/>
      <c r="U195" s="695"/>
    </row>
    <row r="196" spans="1:21">
      <c r="A196" s="695"/>
      <c r="B196" s="695"/>
      <c r="C196" s="695"/>
      <c r="D196" s="695"/>
      <c r="E196" s="695"/>
      <c r="F196" s="695"/>
      <c r="G196" s="695"/>
      <c r="H196" s="695"/>
      <c r="I196" s="695"/>
      <c r="K196" s="695"/>
      <c r="L196" s="695"/>
      <c r="M196" s="695"/>
      <c r="N196" s="695"/>
      <c r="O196" s="695"/>
      <c r="P196" s="695"/>
      <c r="Q196" s="695"/>
      <c r="R196" s="695"/>
      <c r="S196" s="695"/>
      <c r="T196" s="695"/>
      <c r="U196" s="695"/>
    </row>
    <row r="197" spans="1:21">
      <c r="A197" s="695"/>
      <c r="B197" s="695"/>
      <c r="C197" s="695"/>
      <c r="D197" s="695"/>
      <c r="E197" s="695"/>
      <c r="F197" s="695"/>
      <c r="G197" s="695"/>
      <c r="H197" s="695"/>
      <c r="I197" s="695"/>
      <c r="K197" s="695"/>
      <c r="L197" s="695"/>
      <c r="M197" s="695"/>
      <c r="N197" s="695"/>
      <c r="O197" s="695"/>
      <c r="P197" s="695"/>
      <c r="Q197" s="695"/>
      <c r="R197" s="695"/>
      <c r="S197" s="695"/>
      <c r="T197" s="695"/>
      <c r="U197" s="695"/>
    </row>
    <row r="198" spans="1:21">
      <c r="A198" s="695"/>
      <c r="B198" s="695"/>
      <c r="C198" s="695"/>
      <c r="D198" s="695"/>
      <c r="E198" s="695"/>
      <c r="F198" s="695"/>
      <c r="G198" s="695"/>
      <c r="H198" s="695"/>
      <c r="I198" s="695"/>
      <c r="K198" s="695"/>
      <c r="L198" s="695"/>
      <c r="M198" s="695"/>
      <c r="N198" s="695"/>
      <c r="O198" s="695"/>
      <c r="P198" s="695"/>
      <c r="Q198" s="695"/>
      <c r="R198" s="695"/>
      <c r="S198" s="695"/>
      <c r="T198" s="695"/>
      <c r="U198" s="695"/>
    </row>
    <row r="199" spans="1:21">
      <c r="A199" s="695"/>
      <c r="B199" s="695"/>
      <c r="C199" s="695"/>
      <c r="D199" s="695"/>
      <c r="E199" s="695"/>
      <c r="F199" s="695"/>
      <c r="G199" s="695"/>
      <c r="H199" s="695"/>
      <c r="I199" s="695"/>
      <c r="K199" s="695"/>
      <c r="L199" s="695"/>
      <c r="M199" s="695"/>
      <c r="N199" s="695"/>
      <c r="O199" s="695"/>
      <c r="P199" s="695"/>
      <c r="Q199" s="695"/>
      <c r="R199" s="695"/>
      <c r="S199" s="695"/>
      <c r="T199" s="695"/>
      <c r="U199" s="695"/>
    </row>
    <row r="200" spans="1:21">
      <c r="A200" s="695"/>
      <c r="B200" s="695"/>
      <c r="C200" s="695"/>
      <c r="D200" s="695"/>
      <c r="E200" s="695"/>
      <c r="F200" s="695"/>
      <c r="G200" s="695"/>
      <c r="H200" s="695"/>
      <c r="I200" s="695"/>
      <c r="K200" s="695"/>
      <c r="L200" s="695"/>
      <c r="M200" s="695"/>
      <c r="N200" s="695"/>
      <c r="O200" s="695"/>
      <c r="P200" s="695"/>
      <c r="Q200" s="695"/>
      <c r="R200" s="695"/>
      <c r="S200" s="695"/>
      <c r="T200" s="695"/>
      <c r="U200" s="695"/>
    </row>
    <row r="201" spans="1:21">
      <c r="A201" s="695"/>
      <c r="B201" s="695"/>
      <c r="C201" s="695"/>
      <c r="D201" s="695"/>
      <c r="E201" s="695"/>
      <c r="F201" s="695"/>
      <c r="G201" s="695"/>
      <c r="H201" s="695"/>
      <c r="I201" s="695"/>
      <c r="K201" s="695"/>
      <c r="L201" s="695"/>
      <c r="M201" s="695"/>
      <c r="N201" s="695"/>
      <c r="O201" s="695"/>
      <c r="P201" s="695"/>
      <c r="Q201" s="695"/>
      <c r="R201" s="695"/>
      <c r="S201" s="695"/>
      <c r="T201" s="695"/>
      <c r="U201" s="695"/>
    </row>
    <row r="202" spans="1:21">
      <c r="A202" s="695"/>
      <c r="B202" s="695"/>
      <c r="C202" s="695"/>
      <c r="D202" s="695"/>
      <c r="E202" s="695"/>
      <c r="F202" s="695"/>
      <c r="G202" s="695"/>
      <c r="H202" s="695"/>
      <c r="I202" s="695"/>
      <c r="K202" s="695"/>
      <c r="L202" s="695"/>
      <c r="M202" s="695"/>
      <c r="N202" s="695"/>
      <c r="O202" s="695"/>
      <c r="P202" s="695"/>
      <c r="Q202" s="695"/>
      <c r="R202" s="695"/>
      <c r="S202" s="695"/>
      <c r="T202" s="695"/>
      <c r="U202" s="695"/>
    </row>
    <row r="203" spans="1:21">
      <c r="A203" s="695"/>
      <c r="B203" s="695"/>
      <c r="C203" s="695"/>
      <c r="D203" s="695"/>
      <c r="E203" s="695"/>
      <c r="F203" s="695"/>
      <c r="G203" s="695"/>
      <c r="H203" s="695"/>
      <c r="I203" s="695"/>
      <c r="K203" s="695"/>
      <c r="L203" s="695"/>
      <c r="M203" s="695"/>
      <c r="N203" s="695"/>
      <c r="O203" s="695"/>
      <c r="P203" s="695"/>
      <c r="Q203" s="695"/>
      <c r="R203" s="695"/>
      <c r="S203" s="695"/>
      <c r="T203" s="695"/>
      <c r="U203" s="695"/>
    </row>
    <row r="204" spans="1:21">
      <c r="A204" s="695"/>
      <c r="B204" s="695"/>
      <c r="C204" s="695"/>
      <c r="D204" s="695"/>
      <c r="E204" s="695"/>
      <c r="F204" s="695"/>
      <c r="G204" s="695"/>
      <c r="H204" s="695"/>
      <c r="I204" s="695"/>
      <c r="K204" s="539" t="s">
        <v>315</v>
      </c>
      <c r="L204" s="540"/>
      <c r="M204" s="540"/>
      <c r="N204" s="540"/>
      <c r="O204" s="540"/>
      <c r="P204" s="540"/>
      <c r="Q204" s="540"/>
      <c r="R204" s="540"/>
      <c r="S204" s="540"/>
      <c r="T204" s="540"/>
      <c r="U204" s="540"/>
    </row>
    <row r="205" spans="1:21" ht="14.25" customHeight="1">
      <c r="A205" s="695"/>
      <c r="B205" s="695"/>
      <c r="C205" s="695"/>
      <c r="D205" s="695"/>
      <c r="E205" s="695"/>
      <c r="F205" s="695"/>
      <c r="G205" s="695"/>
      <c r="H205" s="695"/>
      <c r="I205" s="695"/>
      <c r="K205" s="695" t="s">
        <v>316</v>
      </c>
      <c r="L205" s="695"/>
      <c r="M205" s="695"/>
      <c r="N205" s="695"/>
      <c r="O205" s="695"/>
      <c r="P205" s="695"/>
      <c r="Q205" s="695"/>
      <c r="R205" s="695"/>
      <c r="S205" s="695"/>
      <c r="T205" s="695"/>
      <c r="U205" s="695"/>
    </row>
    <row r="206" spans="1:21">
      <c r="A206" s="695"/>
      <c r="B206" s="695"/>
      <c r="C206" s="695"/>
      <c r="D206" s="695"/>
      <c r="E206" s="695"/>
      <c r="F206" s="695"/>
      <c r="G206" s="695"/>
      <c r="H206" s="695"/>
      <c r="I206" s="695"/>
      <c r="K206" s="695"/>
      <c r="L206" s="695"/>
      <c r="M206" s="695"/>
      <c r="N206" s="695"/>
      <c r="O206" s="695"/>
      <c r="P206" s="695"/>
      <c r="Q206" s="695"/>
      <c r="R206" s="695"/>
      <c r="S206" s="695"/>
      <c r="T206" s="695"/>
      <c r="U206" s="695"/>
    </row>
    <row r="207" spans="1:21" ht="14.25" customHeight="1">
      <c r="A207" s="695"/>
      <c r="B207" s="695"/>
      <c r="C207" s="695"/>
      <c r="D207" s="695"/>
      <c r="E207" s="695"/>
      <c r="F207" s="695"/>
      <c r="G207" s="695"/>
      <c r="H207" s="695"/>
      <c r="I207" s="695"/>
      <c r="K207" s="695"/>
      <c r="L207" s="695"/>
      <c r="M207" s="695"/>
      <c r="N207" s="695"/>
      <c r="O207" s="695"/>
      <c r="P207" s="695"/>
      <c r="Q207" s="695"/>
      <c r="R207" s="695"/>
      <c r="S207" s="695"/>
      <c r="T207" s="695"/>
      <c r="U207" s="695"/>
    </row>
    <row r="208" spans="1:21">
      <c r="A208" s="539" t="s">
        <v>317</v>
      </c>
      <c r="B208" s="540"/>
      <c r="C208" s="540"/>
      <c r="D208" s="540"/>
      <c r="E208" s="540"/>
      <c r="F208" s="540"/>
      <c r="G208" s="540"/>
      <c r="H208" s="540"/>
      <c r="I208" s="540"/>
      <c r="J208" s="540"/>
      <c r="K208" s="695"/>
      <c r="L208" s="695"/>
      <c r="M208" s="695"/>
      <c r="N208" s="695"/>
      <c r="O208" s="695"/>
      <c r="P208" s="695"/>
      <c r="Q208" s="695"/>
      <c r="R208" s="695"/>
      <c r="S208" s="695"/>
      <c r="T208" s="695"/>
      <c r="U208" s="695"/>
    </row>
    <row r="209" spans="1:21" ht="14.25" customHeight="1">
      <c r="A209" s="695" t="s">
        <v>318</v>
      </c>
      <c r="B209" s="695"/>
      <c r="C209" s="695"/>
      <c r="D209" s="695"/>
      <c r="E209" s="695"/>
      <c r="F209" s="695"/>
      <c r="G209" s="695"/>
      <c r="H209" s="695"/>
      <c r="I209" s="695"/>
      <c r="K209" s="695"/>
      <c r="L209" s="695"/>
      <c r="M209" s="695"/>
      <c r="N209" s="695"/>
      <c r="O209" s="695"/>
      <c r="P209" s="695"/>
      <c r="Q209" s="695"/>
      <c r="R209" s="695"/>
      <c r="S209" s="695"/>
      <c r="T209" s="695"/>
      <c r="U209" s="695"/>
    </row>
    <row r="210" spans="1:21">
      <c r="A210" s="695"/>
      <c r="B210" s="695"/>
      <c r="C210" s="695"/>
      <c r="D210" s="695"/>
      <c r="E210" s="695"/>
      <c r="F210" s="695"/>
      <c r="G210" s="695"/>
      <c r="H210" s="695"/>
      <c r="I210" s="695"/>
      <c r="K210" s="695"/>
      <c r="L210" s="695"/>
      <c r="M210" s="695"/>
      <c r="N210" s="695"/>
      <c r="O210" s="695"/>
      <c r="P210" s="695"/>
      <c r="Q210" s="695"/>
      <c r="R210" s="695"/>
      <c r="S210" s="695"/>
      <c r="T210" s="695"/>
      <c r="U210" s="695"/>
    </row>
    <row r="211" spans="1:21">
      <c r="A211" s="695"/>
      <c r="B211" s="695"/>
      <c r="C211" s="695"/>
      <c r="D211" s="695"/>
      <c r="E211" s="695"/>
      <c r="F211" s="695"/>
      <c r="G211" s="695"/>
      <c r="H211" s="695"/>
      <c r="I211" s="695"/>
      <c r="K211" s="695"/>
      <c r="L211" s="695"/>
      <c r="M211" s="695"/>
      <c r="N211" s="695"/>
      <c r="O211" s="695"/>
      <c r="P211" s="695"/>
      <c r="Q211" s="695"/>
      <c r="R211" s="695"/>
      <c r="S211" s="695"/>
      <c r="T211" s="695"/>
      <c r="U211" s="695"/>
    </row>
    <row r="212" spans="1:21">
      <c r="A212" s="695"/>
      <c r="B212" s="695"/>
      <c r="C212" s="695"/>
      <c r="D212" s="695"/>
      <c r="E212" s="695"/>
      <c r="F212" s="695"/>
      <c r="G212" s="695"/>
      <c r="H212" s="695"/>
      <c r="I212" s="695"/>
      <c r="K212" s="695"/>
      <c r="L212" s="695"/>
      <c r="M212" s="695"/>
      <c r="N212" s="695"/>
      <c r="O212" s="695"/>
      <c r="P212" s="695"/>
      <c r="Q212" s="695"/>
      <c r="R212" s="695"/>
      <c r="S212" s="695"/>
      <c r="T212" s="695"/>
      <c r="U212" s="695"/>
    </row>
    <row r="213" spans="1:21">
      <c r="A213" s="695"/>
      <c r="B213" s="695"/>
      <c r="C213" s="695"/>
      <c r="D213" s="695"/>
      <c r="E213" s="695"/>
      <c r="F213" s="695"/>
      <c r="G213" s="695"/>
      <c r="H213" s="695"/>
      <c r="I213" s="695"/>
      <c r="K213" s="695"/>
      <c r="L213" s="695"/>
      <c r="M213" s="695"/>
      <c r="N213" s="695"/>
      <c r="O213" s="695"/>
      <c r="P213" s="695"/>
      <c r="Q213" s="695"/>
      <c r="R213" s="695"/>
      <c r="S213" s="695"/>
      <c r="T213" s="695"/>
      <c r="U213" s="695"/>
    </row>
    <row r="214" spans="1:21">
      <c r="A214" s="695"/>
      <c r="B214" s="695"/>
      <c r="C214" s="695"/>
      <c r="D214" s="695"/>
      <c r="E214" s="695"/>
      <c r="F214" s="695"/>
      <c r="G214" s="695"/>
      <c r="H214" s="695"/>
      <c r="I214" s="695"/>
      <c r="K214" s="695"/>
      <c r="L214" s="695"/>
      <c r="M214" s="695"/>
      <c r="N214" s="695"/>
      <c r="O214" s="695"/>
      <c r="P214" s="695"/>
      <c r="Q214" s="695"/>
      <c r="R214" s="695"/>
      <c r="S214" s="695"/>
      <c r="T214" s="695"/>
      <c r="U214" s="695"/>
    </row>
    <row r="215" spans="1:21">
      <c r="A215" s="695"/>
      <c r="B215" s="695"/>
      <c r="C215" s="695"/>
      <c r="D215" s="695"/>
      <c r="E215" s="695"/>
      <c r="F215" s="695"/>
      <c r="G215" s="695"/>
      <c r="H215" s="695"/>
      <c r="I215" s="695"/>
      <c r="K215" s="695"/>
      <c r="L215" s="695"/>
      <c r="M215" s="695"/>
      <c r="N215" s="695"/>
      <c r="O215" s="695"/>
      <c r="P215" s="695"/>
      <c r="Q215" s="695"/>
      <c r="R215" s="695"/>
      <c r="S215" s="695"/>
      <c r="T215" s="695"/>
      <c r="U215" s="695"/>
    </row>
    <row r="216" spans="1:21">
      <c r="A216" s="695"/>
      <c r="B216" s="695"/>
      <c r="C216" s="695"/>
      <c r="D216" s="695"/>
      <c r="E216" s="695"/>
      <c r="F216" s="695"/>
      <c r="G216" s="695"/>
      <c r="H216" s="695"/>
      <c r="I216" s="695"/>
      <c r="K216" s="695"/>
      <c r="L216" s="695"/>
      <c r="M216" s="695"/>
      <c r="N216" s="695"/>
      <c r="O216" s="695"/>
      <c r="P216" s="695"/>
      <c r="Q216" s="695"/>
      <c r="R216" s="695"/>
      <c r="S216" s="695"/>
      <c r="T216" s="695"/>
      <c r="U216" s="695"/>
    </row>
    <row r="217" spans="1:21">
      <c r="A217" s="695"/>
      <c r="B217" s="695"/>
      <c r="C217" s="695"/>
      <c r="D217" s="695"/>
      <c r="E217" s="695"/>
      <c r="F217" s="695"/>
      <c r="G217" s="695"/>
      <c r="H217" s="695"/>
      <c r="I217" s="695"/>
      <c r="K217" s="539" t="s">
        <v>319</v>
      </c>
      <c r="L217" s="540"/>
      <c r="M217" s="540"/>
      <c r="N217" s="540"/>
      <c r="O217" s="540"/>
      <c r="P217" s="540"/>
      <c r="Q217" s="540"/>
      <c r="R217" s="540"/>
      <c r="S217" s="540"/>
      <c r="T217" s="540"/>
      <c r="U217" s="540"/>
    </row>
    <row r="218" spans="1:21">
      <c r="A218" s="695"/>
      <c r="B218" s="695"/>
      <c r="C218" s="695"/>
      <c r="D218" s="695"/>
      <c r="E218" s="695"/>
      <c r="F218" s="695"/>
      <c r="G218" s="695"/>
      <c r="H218" s="695"/>
      <c r="I218" s="695"/>
      <c r="K218" s="695" t="s">
        <v>320</v>
      </c>
      <c r="L218" s="695"/>
      <c r="M218" s="695"/>
      <c r="N218" s="695"/>
      <c r="O218" s="695"/>
      <c r="P218" s="695"/>
      <c r="Q218" s="695"/>
      <c r="R218" s="695"/>
      <c r="S218" s="695"/>
      <c r="T218" s="695"/>
      <c r="U218" s="695"/>
    </row>
    <row r="219" spans="1:21">
      <c r="A219" s="695"/>
      <c r="B219" s="695"/>
      <c r="C219" s="695"/>
      <c r="D219" s="695"/>
      <c r="E219" s="695"/>
      <c r="F219" s="695"/>
      <c r="G219" s="695"/>
      <c r="H219" s="695"/>
      <c r="I219" s="695"/>
      <c r="K219" s="695"/>
      <c r="L219" s="695"/>
      <c r="M219" s="695"/>
      <c r="N219" s="695"/>
      <c r="O219" s="695"/>
      <c r="P219" s="695"/>
      <c r="Q219" s="695"/>
      <c r="R219" s="695"/>
      <c r="S219" s="695"/>
      <c r="T219" s="695"/>
      <c r="U219" s="695"/>
    </row>
    <row r="220" spans="1:21">
      <c r="A220" s="695"/>
      <c r="B220" s="695"/>
      <c r="C220" s="695"/>
      <c r="D220" s="695"/>
      <c r="E220" s="695"/>
      <c r="F220" s="695"/>
      <c r="G220" s="695"/>
      <c r="H220" s="695"/>
      <c r="I220" s="695"/>
      <c r="K220" s="695"/>
      <c r="L220" s="695"/>
      <c r="M220" s="695"/>
      <c r="N220" s="695"/>
      <c r="O220" s="695"/>
      <c r="P220" s="695"/>
      <c r="Q220" s="695"/>
      <c r="R220" s="695"/>
      <c r="S220" s="695"/>
      <c r="T220" s="695"/>
      <c r="U220" s="695"/>
    </row>
    <row r="221" spans="1:21">
      <c r="A221" s="695"/>
      <c r="B221" s="695"/>
      <c r="C221" s="695"/>
      <c r="D221" s="695"/>
      <c r="E221" s="695"/>
      <c r="F221" s="695"/>
      <c r="G221" s="695"/>
      <c r="H221" s="695"/>
      <c r="I221" s="695"/>
      <c r="K221" s="695"/>
      <c r="L221" s="695"/>
      <c r="M221" s="695"/>
      <c r="N221" s="695"/>
      <c r="O221" s="695"/>
      <c r="P221" s="695"/>
      <c r="Q221" s="695"/>
      <c r="R221" s="695"/>
      <c r="S221" s="695"/>
      <c r="T221" s="695"/>
      <c r="U221" s="695"/>
    </row>
    <row r="222" spans="1:21">
      <c r="A222" s="695"/>
      <c r="B222" s="695"/>
      <c r="C222" s="695"/>
      <c r="D222" s="695"/>
      <c r="E222" s="695"/>
      <c r="F222" s="695"/>
      <c r="G222" s="695"/>
      <c r="H222" s="695"/>
      <c r="I222" s="695"/>
      <c r="K222" s="695"/>
      <c r="L222" s="695"/>
      <c r="M222" s="695"/>
      <c r="N222" s="695"/>
      <c r="O222" s="695"/>
      <c r="P222" s="695"/>
      <c r="Q222" s="695"/>
      <c r="R222" s="695"/>
      <c r="S222" s="695"/>
      <c r="T222" s="695"/>
      <c r="U222" s="695"/>
    </row>
    <row r="223" spans="1:21">
      <c r="A223" s="695"/>
      <c r="B223" s="695"/>
      <c r="C223" s="695"/>
      <c r="D223" s="695"/>
      <c r="E223" s="695"/>
      <c r="F223" s="695"/>
      <c r="G223" s="695"/>
      <c r="H223" s="695"/>
      <c r="I223" s="695"/>
      <c r="K223" s="695"/>
      <c r="L223" s="695"/>
      <c r="M223" s="695"/>
      <c r="N223" s="695"/>
      <c r="O223" s="695"/>
      <c r="P223" s="695"/>
      <c r="Q223" s="695"/>
      <c r="R223" s="695"/>
      <c r="S223" s="695"/>
      <c r="T223" s="695"/>
      <c r="U223" s="695"/>
    </row>
    <row r="224" spans="1:21">
      <c r="A224" s="695"/>
      <c r="B224" s="695"/>
      <c r="C224" s="695"/>
      <c r="D224" s="695"/>
      <c r="E224" s="695"/>
      <c r="F224" s="695"/>
      <c r="G224" s="695"/>
      <c r="H224" s="695"/>
      <c r="I224" s="695"/>
      <c r="K224" s="695"/>
      <c r="L224" s="695"/>
      <c r="M224" s="695"/>
      <c r="N224" s="695"/>
      <c r="O224" s="695"/>
      <c r="P224" s="695"/>
      <c r="Q224" s="695"/>
      <c r="R224" s="695"/>
      <c r="S224" s="695"/>
      <c r="T224" s="695"/>
      <c r="U224" s="695"/>
    </row>
    <row r="225" spans="1:21">
      <c r="A225" s="695"/>
      <c r="B225" s="695"/>
      <c r="C225" s="695"/>
      <c r="D225" s="695"/>
      <c r="E225" s="695"/>
      <c r="F225" s="695"/>
      <c r="G225" s="695"/>
      <c r="H225" s="695"/>
      <c r="I225" s="695"/>
      <c r="K225" s="539" t="s">
        <v>321</v>
      </c>
      <c r="L225" s="540"/>
      <c r="M225" s="540"/>
      <c r="N225" s="540"/>
      <c r="O225" s="540"/>
      <c r="P225" s="540"/>
      <c r="Q225" s="540"/>
      <c r="R225" s="540"/>
      <c r="S225" s="540"/>
      <c r="T225" s="540"/>
      <c r="U225" s="540"/>
    </row>
    <row r="226" spans="1:21">
      <c r="A226" s="695"/>
      <c r="B226" s="695"/>
      <c r="C226" s="695"/>
      <c r="D226" s="695"/>
      <c r="E226" s="695"/>
      <c r="F226" s="695"/>
      <c r="G226" s="695"/>
      <c r="H226" s="695"/>
      <c r="I226" s="695"/>
      <c r="K226" s="695" t="s">
        <v>322</v>
      </c>
      <c r="L226" s="718"/>
      <c r="M226" s="718"/>
      <c r="N226" s="718"/>
      <c r="O226" s="718"/>
      <c r="P226" s="718"/>
      <c r="Q226" s="718"/>
      <c r="R226" s="718"/>
      <c r="S226" s="718"/>
      <c r="T226" s="718"/>
      <c r="U226" s="718"/>
    </row>
    <row r="227" spans="1:21">
      <c r="A227" s="695"/>
      <c r="B227" s="695"/>
      <c r="C227" s="695"/>
      <c r="D227" s="695"/>
      <c r="E227" s="695"/>
      <c r="F227" s="695"/>
      <c r="G227" s="695"/>
      <c r="H227" s="695"/>
      <c r="I227" s="695"/>
      <c r="K227" s="718"/>
      <c r="L227" s="718"/>
      <c r="M227" s="718"/>
      <c r="N227" s="718"/>
      <c r="O227" s="718"/>
      <c r="P227" s="718"/>
      <c r="Q227" s="718"/>
      <c r="R227" s="718"/>
      <c r="S227" s="718"/>
      <c r="T227" s="718"/>
      <c r="U227" s="718"/>
    </row>
    <row r="228" spans="1:21">
      <c r="A228" s="695"/>
      <c r="B228" s="695"/>
      <c r="C228" s="695"/>
      <c r="D228" s="695"/>
      <c r="E228" s="695"/>
      <c r="F228" s="695"/>
      <c r="G228" s="695"/>
      <c r="H228" s="695"/>
      <c r="I228" s="695"/>
      <c r="K228" s="718"/>
      <c r="L228" s="718"/>
      <c r="M228" s="718"/>
      <c r="N228" s="718"/>
      <c r="O228" s="718"/>
      <c r="P228" s="718"/>
      <c r="Q228" s="718"/>
      <c r="R228" s="718"/>
      <c r="S228" s="718"/>
      <c r="T228" s="718"/>
      <c r="U228" s="718"/>
    </row>
    <row r="229" spans="1:21">
      <c r="A229" s="539" t="s">
        <v>323</v>
      </c>
      <c r="B229" s="540"/>
      <c r="C229" s="540"/>
      <c r="D229" s="540"/>
      <c r="E229" s="540"/>
      <c r="F229" s="540"/>
      <c r="G229" s="540"/>
      <c r="H229" s="540"/>
      <c r="I229" s="540"/>
      <c r="J229" s="540"/>
      <c r="K229" s="718"/>
      <c r="L229" s="718"/>
      <c r="M229" s="718"/>
      <c r="N229" s="718"/>
      <c r="O229" s="718"/>
      <c r="P229" s="718"/>
      <c r="Q229" s="718"/>
      <c r="R229" s="718"/>
      <c r="S229" s="718"/>
      <c r="T229" s="718"/>
      <c r="U229" s="718"/>
    </row>
    <row r="230" spans="1:21">
      <c r="A230" s="695" t="s">
        <v>324</v>
      </c>
      <c r="B230" s="695"/>
      <c r="C230" s="695"/>
      <c r="D230" s="695"/>
      <c r="E230" s="695"/>
      <c r="F230" s="695"/>
      <c r="G230" s="695"/>
      <c r="H230" s="695"/>
      <c r="I230" s="695"/>
      <c r="K230" s="718"/>
      <c r="L230" s="718"/>
      <c r="M230" s="718"/>
      <c r="N230" s="718"/>
      <c r="O230" s="718"/>
      <c r="P230" s="718"/>
      <c r="Q230" s="718"/>
      <c r="R230" s="718"/>
      <c r="S230" s="718"/>
      <c r="T230" s="718"/>
      <c r="U230" s="718"/>
    </row>
    <row r="231" spans="1:21">
      <c r="A231" s="695"/>
      <c r="B231" s="695"/>
      <c r="C231" s="695"/>
      <c r="D231" s="695"/>
      <c r="E231" s="695"/>
      <c r="F231" s="695"/>
      <c r="G231" s="695"/>
      <c r="H231" s="695"/>
      <c r="I231" s="695"/>
      <c r="K231" s="718"/>
      <c r="L231" s="718"/>
      <c r="M231" s="718"/>
      <c r="N231" s="718"/>
      <c r="O231" s="718"/>
      <c r="P231" s="718"/>
      <c r="Q231" s="718"/>
      <c r="R231" s="718"/>
      <c r="S231" s="718"/>
      <c r="T231" s="718"/>
      <c r="U231" s="718"/>
    </row>
    <row r="232" spans="1:21">
      <c r="A232" s="695"/>
      <c r="B232" s="695"/>
      <c r="C232" s="695"/>
      <c r="D232" s="695"/>
      <c r="E232" s="695"/>
      <c r="F232" s="695"/>
      <c r="G232" s="695"/>
      <c r="H232" s="695"/>
      <c r="I232" s="695"/>
      <c r="K232" s="718"/>
      <c r="L232" s="718"/>
      <c r="M232" s="718"/>
      <c r="N232" s="718"/>
      <c r="O232" s="718"/>
      <c r="P232" s="718"/>
      <c r="Q232" s="718"/>
      <c r="R232" s="718"/>
      <c r="S232" s="718"/>
      <c r="T232" s="718"/>
      <c r="U232" s="718"/>
    </row>
    <row r="233" spans="1:21">
      <c r="A233" s="695"/>
      <c r="B233" s="695"/>
      <c r="C233" s="695"/>
      <c r="D233" s="695"/>
      <c r="E233" s="695"/>
      <c r="F233" s="695"/>
      <c r="G233" s="695"/>
      <c r="H233" s="695"/>
      <c r="I233" s="695"/>
      <c r="K233" s="718"/>
      <c r="L233" s="718"/>
      <c r="M233" s="718"/>
      <c r="N233" s="718"/>
      <c r="O233" s="718"/>
      <c r="P233" s="718"/>
      <c r="Q233" s="718"/>
      <c r="R233" s="718"/>
      <c r="S233" s="718"/>
      <c r="T233" s="718"/>
      <c r="U233" s="718"/>
    </row>
    <row r="234" spans="1:21">
      <c r="A234" s="696"/>
      <c r="B234" s="696"/>
      <c r="C234" s="696"/>
      <c r="D234" s="696"/>
      <c r="E234" s="696"/>
      <c r="F234" s="696"/>
      <c r="G234" s="696"/>
      <c r="H234" s="696"/>
      <c r="I234" s="696"/>
      <c r="K234" s="718"/>
      <c r="L234" s="718"/>
      <c r="M234" s="718"/>
      <c r="N234" s="718"/>
      <c r="O234" s="718"/>
      <c r="P234" s="718"/>
      <c r="Q234" s="718"/>
      <c r="R234" s="718"/>
      <c r="S234" s="718"/>
      <c r="T234" s="718"/>
      <c r="U234" s="718"/>
    </row>
    <row r="235" spans="1:21">
      <c r="A235" s="723" t="s">
        <v>214</v>
      </c>
      <c r="B235" s="723"/>
      <c r="C235" s="723"/>
      <c r="D235" s="723"/>
      <c r="E235" s="723"/>
      <c r="F235" s="723"/>
      <c r="G235" s="76">
        <f>G47</f>
        <v>0</v>
      </c>
      <c r="H235" s="717" t="str">
        <f>H141</f>
        <v>CSC-Q0-2022</v>
      </c>
      <c r="I235" s="717"/>
      <c r="J235" s="717"/>
      <c r="K235" s="710" t="s">
        <v>214</v>
      </c>
      <c r="L235" s="710"/>
      <c r="M235" s="710"/>
      <c r="N235" s="710"/>
      <c r="O235" s="710"/>
      <c r="P235" s="710"/>
      <c r="Q235" s="710"/>
      <c r="R235" s="78">
        <f>G47</f>
        <v>0</v>
      </c>
      <c r="S235" s="717" t="str">
        <f>H141</f>
        <v>CSC-Q0-2022</v>
      </c>
      <c r="T235" s="717"/>
      <c r="U235" s="717"/>
    </row>
    <row r="236" spans="1:21">
      <c r="A236" s="404" t="s">
        <v>1</v>
      </c>
      <c r="B236" s="404"/>
      <c r="C236" s="404"/>
      <c r="D236" s="404"/>
      <c r="H236" s="20"/>
      <c r="I236" s="405" t="s">
        <v>215</v>
      </c>
      <c r="J236" s="405"/>
      <c r="K236" s="404" t="s">
        <v>3</v>
      </c>
      <c r="L236" s="404"/>
      <c r="M236" s="404"/>
      <c r="N236" s="404"/>
      <c r="Q236" s="20"/>
      <c r="R236" s="405" t="s">
        <v>215</v>
      </c>
      <c r="S236" s="405"/>
      <c r="T236" s="405"/>
      <c r="U236" s="405"/>
    </row>
    <row r="237" spans="1:21">
      <c r="A237" s="404"/>
      <c r="B237" s="404"/>
      <c r="C237" s="404"/>
      <c r="D237" s="404"/>
      <c r="F237" s="405" t="s">
        <v>325</v>
      </c>
      <c r="G237" s="405"/>
      <c r="H237" s="405"/>
      <c r="I237" s="405"/>
      <c r="J237" s="405"/>
      <c r="K237" s="404"/>
      <c r="L237" s="404"/>
      <c r="M237" s="404"/>
      <c r="N237" s="404"/>
      <c r="P237" s="405" t="s">
        <v>326</v>
      </c>
      <c r="Q237" s="405"/>
      <c r="R237" s="405"/>
      <c r="S237" s="405"/>
      <c r="T237" s="405"/>
      <c r="U237" s="405"/>
    </row>
    <row r="238" spans="1:21">
      <c r="A238" s="404"/>
      <c r="B238" s="404"/>
      <c r="C238" s="404"/>
      <c r="D238" s="404"/>
      <c r="G238" s="547" t="s">
        <v>1091</v>
      </c>
      <c r="H238" s="547"/>
      <c r="I238" s="547"/>
      <c r="J238" s="547"/>
      <c r="K238" s="404"/>
      <c r="L238" s="404"/>
      <c r="M238" s="404"/>
      <c r="N238" s="404"/>
      <c r="Q238" s="547" t="s">
        <v>1091</v>
      </c>
      <c r="R238" s="547"/>
      <c r="S238" s="547"/>
      <c r="T238" s="547"/>
      <c r="U238" s="547"/>
    </row>
    <row r="239" spans="1:21" ht="14.25" customHeight="1">
      <c r="A239" s="764" t="s">
        <v>327</v>
      </c>
      <c r="B239" s="764"/>
      <c r="C239" s="764"/>
      <c r="D239" s="764"/>
      <c r="E239" s="764"/>
      <c r="F239" s="764"/>
      <c r="G239" s="764"/>
      <c r="H239" s="764"/>
      <c r="I239" s="764"/>
      <c r="K239" s="539" t="s">
        <v>328</v>
      </c>
      <c r="L239" s="540"/>
      <c r="M239" s="540"/>
      <c r="N239" s="540"/>
      <c r="O239" s="540"/>
      <c r="P239" s="540"/>
      <c r="Q239" s="540"/>
      <c r="R239" s="540"/>
      <c r="S239" s="540"/>
      <c r="T239" s="540"/>
      <c r="U239" s="540"/>
    </row>
    <row r="240" spans="1:21">
      <c r="A240" s="764"/>
      <c r="B240" s="764"/>
      <c r="C240" s="764"/>
      <c r="D240" s="764"/>
      <c r="E240" s="764"/>
      <c r="F240" s="764"/>
      <c r="G240" s="764"/>
      <c r="H240" s="764"/>
      <c r="I240" s="764"/>
    </row>
    <row r="241" spans="1:21">
      <c r="A241" s="764"/>
      <c r="B241" s="764"/>
      <c r="C241" s="764"/>
      <c r="D241" s="764"/>
      <c r="E241" s="764"/>
      <c r="F241" s="764"/>
      <c r="G241" s="764"/>
      <c r="H241" s="764"/>
      <c r="I241" s="764"/>
      <c r="K241" s="756" t="s">
        <v>329</v>
      </c>
      <c r="L241" s="757"/>
      <c r="M241" s="757"/>
      <c r="N241" s="757"/>
      <c r="O241" s="758"/>
      <c r="P241" s="756" t="s">
        <v>330</v>
      </c>
      <c r="Q241" s="757"/>
      <c r="R241" s="757"/>
      <c r="S241" s="757"/>
      <c r="T241" s="757"/>
      <c r="U241" s="758"/>
    </row>
    <row r="242" spans="1:21">
      <c r="A242" s="764"/>
      <c r="B242" s="764"/>
      <c r="C242" s="764"/>
      <c r="D242" s="764"/>
      <c r="E242" s="764"/>
      <c r="F242" s="764"/>
      <c r="G242" s="764"/>
      <c r="H242" s="764"/>
      <c r="I242" s="764"/>
      <c r="K242" s="759"/>
      <c r="L242" s="760"/>
      <c r="M242" s="760"/>
      <c r="N242" s="760"/>
      <c r="O242" s="761"/>
      <c r="P242" s="759"/>
      <c r="Q242" s="760"/>
      <c r="R242" s="760"/>
      <c r="S242" s="760"/>
      <c r="T242" s="760"/>
      <c r="U242" s="761"/>
    </row>
    <row r="243" spans="1:21">
      <c r="A243" s="764"/>
      <c r="B243" s="764"/>
      <c r="C243" s="764"/>
      <c r="D243" s="764"/>
      <c r="E243" s="764"/>
      <c r="F243" s="764"/>
      <c r="G243" s="764"/>
      <c r="H243" s="764"/>
      <c r="I243" s="764"/>
      <c r="K243" s="767">
        <f>'1-Questionnaire'!C7</f>
        <v>0</v>
      </c>
      <c r="L243" s="768"/>
      <c r="M243" s="768"/>
      <c r="N243" s="768"/>
      <c r="P243" s="770" t="s">
        <v>331</v>
      </c>
      <c r="Q243" s="736"/>
      <c r="R243" s="736"/>
      <c r="S243" s="736"/>
      <c r="U243" s="17"/>
    </row>
    <row r="244" spans="1:21" ht="27.75" customHeight="1">
      <c r="A244" s="764"/>
      <c r="B244" s="764"/>
      <c r="C244" s="764"/>
      <c r="D244" s="764"/>
      <c r="E244" s="764"/>
      <c r="F244" s="764"/>
      <c r="G244" s="764"/>
      <c r="H244" s="764"/>
      <c r="I244" s="764"/>
      <c r="K244" s="727">
        <f>'1-Questionnaire'!C5</f>
        <v>0</v>
      </c>
      <c r="L244" s="695"/>
      <c r="M244" s="695"/>
      <c r="N244" s="695"/>
      <c r="O244" s="728"/>
      <c r="P244" s="727" t="s">
        <v>1</v>
      </c>
      <c r="Q244" s="695"/>
      <c r="R244" s="695"/>
      <c r="S244" s="695"/>
      <c r="U244" s="17"/>
    </row>
    <row r="245" spans="1:21" ht="14.25" customHeight="1">
      <c r="A245" s="764"/>
      <c r="B245" s="764"/>
      <c r="C245" s="764"/>
      <c r="D245" s="764"/>
      <c r="E245" s="764"/>
      <c r="F245" s="764"/>
      <c r="G245" s="764"/>
      <c r="H245" s="764"/>
      <c r="I245" s="764"/>
      <c r="K245" s="727">
        <f>'1-Questionnaire'!C6</f>
        <v>0</v>
      </c>
      <c r="L245" s="695"/>
      <c r="M245" s="695"/>
      <c r="N245" s="695"/>
      <c r="O245" s="728"/>
      <c r="P245" s="719" t="s">
        <v>332</v>
      </c>
      <c r="Q245" s="720"/>
      <c r="R245" s="720"/>
      <c r="S245" s="720"/>
      <c r="U245" s="17"/>
    </row>
    <row r="246" spans="1:21">
      <c r="A246" s="764"/>
      <c r="B246" s="764"/>
      <c r="C246" s="764"/>
      <c r="D246" s="764"/>
      <c r="E246" s="764"/>
      <c r="F246" s="764"/>
      <c r="G246" s="764"/>
      <c r="H246" s="764"/>
      <c r="I246" s="764"/>
      <c r="K246" s="727"/>
      <c r="L246" s="695"/>
      <c r="M246" s="695"/>
      <c r="N246" s="695"/>
      <c r="O246" s="728"/>
      <c r="P246" s="719"/>
      <c r="Q246" s="720"/>
      <c r="R246" s="720"/>
      <c r="S246" s="720"/>
      <c r="U246" s="17"/>
    </row>
    <row r="247" spans="1:21" ht="14.25" customHeight="1">
      <c r="A247" s="764"/>
      <c r="B247" s="764"/>
      <c r="C247" s="764"/>
      <c r="D247" s="764"/>
      <c r="E247" s="764"/>
      <c r="F247" s="764"/>
      <c r="G247" s="764"/>
      <c r="H247" s="764"/>
      <c r="I247" s="764"/>
      <c r="K247" s="719" t="str">
        <f>'1-Questionnaire'!I6</f>
        <v>Egypt</v>
      </c>
      <c r="L247" s="720"/>
      <c r="M247" s="720"/>
      <c r="N247" s="720"/>
      <c r="P247" s="721" t="s">
        <v>333</v>
      </c>
      <c r="Q247" s="722"/>
      <c r="R247" s="722"/>
      <c r="S247" s="722"/>
      <c r="U247" s="17"/>
    </row>
    <row r="248" spans="1:21" ht="14.1" customHeight="1">
      <c r="A248" s="539" t="s">
        <v>334</v>
      </c>
      <c r="B248" s="540"/>
      <c r="C248" s="540"/>
      <c r="D248" s="540"/>
      <c r="E248" s="540"/>
      <c r="F248" s="540"/>
      <c r="G248" s="540"/>
      <c r="H248" s="540"/>
      <c r="I248" s="540"/>
      <c r="J248" s="540"/>
      <c r="K248" s="719" t="str">
        <f>'1-Questionnaire'!C8</f>
        <v>Tel:</v>
      </c>
      <c r="L248" s="720"/>
      <c r="M248" s="720"/>
      <c r="N248" s="720"/>
      <c r="P248" s="721" t="s">
        <v>335</v>
      </c>
      <c r="Q248" s="722"/>
      <c r="R248" s="722"/>
      <c r="S248" s="722"/>
      <c r="U248" s="17"/>
    </row>
    <row r="249" spans="1:21" ht="14.1" customHeight="1">
      <c r="A249" s="765" t="s">
        <v>336</v>
      </c>
      <c r="B249" s="765"/>
      <c r="C249" s="765"/>
      <c r="D249" s="765"/>
      <c r="E249" s="765"/>
      <c r="F249" s="765"/>
      <c r="G249" s="765"/>
      <c r="H249" s="765"/>
      <c r="I249" s="765"/>
      <c r="K249" s="754" t="str">
        <f>'1-Questionnaire'!G8</f>
        <v>E-mail:</v>
      </c>
      <c r="L249" s="755"/>
      <c r="M249" s="755"/>
      <c r="N249" s="755"/>
      <c r="O249" s="73"/>
      <c r="P249" s="752" t="s">
        <v>337</v>
      </c>
      <c r="Q249" s="753"/>
      <c r="R249" s="753"/>
      <c r="S249" s="753"/>
      <c r="T249" s="73"/>
      <c r="U249" s="74"/>
    </row>
    <row r="250" spans="1:21" ht="1.1499999999999999" customHeight="1">
      <c r="A250" s="765"/>
      <c r="B250" s="765"/>
      <c r="C250" s="765"/>
      <c r="D250" s="765"/>
      <c r="E250" s="765"/>
      <c r="F250" s="765"/>
      <c r="G250" s="765"/>
      <c r="H250" s="765"/>
      <c r="I250" s="765"/>
      <c r="K250" t="s">
        <v>338</v>
      </c>
    </row>
    <row r="251" spans="1:21">
      <c r="A251" s="765"/>
      <c r="B251" s="765"/>
      <c r="C251" s="765"/>
      <c r="D251" s="765"/>
      <c r="E251" s="765"/>
      <c r="F251" s="765"/>
      <c r="G251" s="765"/>
      <c r="H251" s="765"/>
      <c r="I251" s="765"/>
      <c r="K251" s="539" t="s">
        <v>339</v>
      </c>
      <c r="L251" s="540"/>
      <c r="M251" s="540"/>
      <c r="N251" s="540"/>
      <c r="O251" s="540"/>
      <c r="P251" s="540"/>
      <c r="Q251" s="540"/>
      <c r="R251" s="540"/>
      <c r="S251" s="540"/>
      <c r="T251" s="540"/>
      <c r="U251" s="540"/>
    </row>
    <row r="252" spans="1:21" ht="57.6" customHeight="1">
      <c r="A252" s="765"/>
      <c r="B252" s="765"/>
      <c r="C252" s="765"/>
      <c r="D252" s="765"/>
      <c r="E252" s="765"/>
      <c r="F252" s="765"/>
      <c r="G252" s="765"/>
      <c r="H252" s="765"/>
      <c r="I252" s="765"/>
      <c r="K252" s="716" t="s">
        <v>340</v>
      </c>
      <c r="L252" s="716"/>
      <c r="M252" s="716"/>
      <c r="N252" s="716"/>
      <c r="O252" s="716"/>
      <c r="P252" s="716"/>
      <c r="Q252" s="716"/>
      <c r="R252" s="716"/>
      <c r="S252" s="716"/>
      <c r="T252" s="716"/>
      <c r="U252" s="716"/>
    </row>
    <row r="253" spans="1:21" ht="3" customHeight="1">
      <c r="A253" s="765"/>
      <c r="B253" s="765"/>
      <c r="C253" s="765"/>
      <c r="D253" s="765"/>
      <c r="E253" s="765"/>
      <c r="F253" s="765"/>
      <c r="G253" s="765"/>
      <c r="H253" s="765"/>
      <c r="I253" s="765"/>
    </row>
    <row r="254" spans="1:21">
      <c r="A254" s="765"/>
      <c r="B254" s="765"/>
      <c r="C254" s="765"/>
      <c r="D254" s="765"/>
      <c r="E254" s="765"/>
      <c r="F254" s="765"/>
      <c r="G254" s="765"/>
      <c r="H254" s="765"/>
      <c r="I254" s="765"/>
      <c r="K254" s="539" t="s">
        <v>341</v>
      </c>
      <c r="L254" s="540"/>
      <c r="M254" s="540"/>
      <c r="N254" s="540"/>
      <c r="O254" s="540"/>
      <c r="P254" s="540"/>
      <c r="Q254" s="540"/>
      <c r="R254" s="540"/>
      <c r="S254" s="540"/>
      <c r="T254" s="540"/>
      <c r="U254" s="540"/>
    </row>
    <row r="255" spans="1:21" ht="14.1" customHeight="1">
      <c r="A255" s="765"/>
      <c r="B255" s="765"/>
      <c r="C255" s="765"/>
      <c r="D255" s="765"/>
      <c r="E255" s="765"/>
      <c r="F255" s="765"/>
      <c r="G255" s="765"/>
      <c r="H255" s="765"/>
      <c r="I255" s="765"/>
      <c r="K255" s="763" t="s">
        <v>342</v>
      </c>
      <c r="L255" s="763"/>
      <c r="M255" s="763"/>
      <c r="N255" s="763"/>
      <c r="O255" s="763"/>
      <c r="P255" s="763"/>
      <c r="Q255" s="763"/>
      <c r="R255" s="763"/>
      <c r="S255" s="763"/>
      <c r="T255" s="763"/>
      <c r="U255" s="763"/>
    </row>
    <row r="256" spans="1:21">
      <c r="A256" s="765"/>
      <c r="B256" s="765"/>
      <c r="C256" s="765"/>
      <c r="D256" s="765"/>
      <c r="E256" s="765"/>
      <c r="F256" s="765"/>
      <c r="G256" s="765"/>
      <c r="H256" s="765"/>
      <c r="I256" s="765"/>
      <c r="K256" s="763"/>
      <c r="L256" s="763"/>
      <c r="M256" s="763"/>
      <c r="N256" s="763"/>
      <c r="O256" s="763"/>
      <c r="P256" s="763"/>
      <c r="Q256" s="763"/>
      <c r="R256" s="763"/>
      <c r="S256" s="763"/>
      <c r="T256" s="763"/>
      <c r="U256" s="763"/>
    </row>
    <row r="257" spans="1:21">
      <c r="A257" s="765"/>
      <c r="B257" s="765"/>
      <c r="C257" s="765"/>
      <c r="D257" s="765"/>
      <c r="E257" s="765"/>
      <c r="F257" s="765"/>
      <c r="G257" s="765"/>
      <c r="H257" s="765"/>
      <c r="I257" s="765"/>
      <c r="K257" s="763"/>
      <c r="L257" s="763"/>
      <c r="M257" s="763"/>
      <c r="N257" s="763"/>
      <c r="O257" s="763"/>
      <c r="P257" s="763"/>
      <c r="Q257" s="763"/>
      <c r="R257" s="763"/>
      <c r="S257" s="763"/>
      <c r="T257" s="763"/>
      <c r="U257" s="763"/>
    </row>
    <row r="258" spans="1:21">
      <c r="A258" s="765"/>
      <c r="B258" s="765"/>
      <c r="C258" s="765"/>
      <c r="D258" s="765"/>
      <c r="E258" s="765"/>
      <c r="F258" s="765"/>
      <c r="G258" s="765"/>
      <c r="H258" s="765"/>
      <c r="I258" s="765"/>
      <c r="K258" s="763"/>
      <c r="L258" s="763"/>
      <c r="M258" s="763"/>
      <c r="N258" s="763"/>
      <c r="O258" s="763"/>
      <c r="P258" s="763"/>
      <c r="Q258" s="763"/>
      <c r="R258" s="763"/>
      <c r="S258" s="763"/>
      <c r="T258" s="763"/>
      <c r="U258" s="763"/>
    </row>
    <row r="259" spans="1:21">
      <c r="A259" s="765"/>
      <c r="B259" s="765"/>
      <c r="C259" s="765"/>
      <c r="D259" s="765"/>
      <c r="E259" s="765"/>
      <c r="F259" s="765"/>
      <c r="G259" s="765"/>
      <c r="H259" s="765"/>
      <c r="I259" s="765"/>
      <c r="K259" s="763"/>
      <c r="L259" s="763"/>
      <c r="M259" s="763"/>
      <c r="N259" s="763"/>
      <c r="O259" s="763"/>
      <c r="P259" s="763"/>
      <c r="Q259" s="763"/>
      <c r="R259" s="763"/>
      <c r="S259" s="763"/>
      <c r="T259" s="763"/>
      <c r="U259" s="763"/>
    </row>
    <row r="260" spans="1:21">
      <c r="A260" s="765"/>
      <c r="B260" s="765"/>
      <c r="C260" s="765"/>
      <c r="D260" s="765"/>
      <c r="E260" s="765"/>
      <c r="F260" s="765"/>
      <c r="G260" s="765"/>
      <c r="H260" s="765"/>
      <c r="I260" s="765"/>
      <c r="K260" s="763"/>
      <c r="L260" s="763"/>
      <c r="M260" s="763"/>
      <c r="N260" s="763"/>
      <c r="O260" s="763"/>
      <c r="P260" s="763"/>
      <c r="Q260" s="763"/>
      <c r="R260" s="763"/>
      <c r="S260" s="763"/>
      <c r="T260" s="763"/>
      <c r="U260" s="763"/>
    </row>
    <row r="261" spans="1:21">
      <c r="A261" s="765"/>
      <c r="B261" s="765"/>
      <c r="C261" s="765"/>
      <c r="D261" s="765"/>
      <c r="E261" s="765"/>
      <c r="F261" s="765"/>
      <c r="G261" s="765"/>
      <c r="H261" s="765"/>
      <c r="I261" s="765"/>
      <c r="K261" s="763"/>
      <c r="L261" s="763"/>
      <c r="M261" s="763"/>
      <c r="N261" s="763"/>
      <c r="O261" s="763"/>
      <c r="P261" s="763"/>
      <c r="Q261" s="763"/>
      <c r="R261" s="763"/>
      <c r="S261" s="763"/>
      <c r="T261" s="763"/>
      <c r="U261" s="763"/>
    </row>
    <row r="262" spans="1:21" ht="4.1500000000000004" customHeight="1">
      <c r="A262" s="765"/>
      <c r="B262" s="765"/>
      <c r="C262" s="765"/>
      <c r="D262" s="765"/>
      <c r="E262" s="765"/>
      <c r="F262" s="765"/>
      <c r="G262" s="765"/>
      <c r="H262" s="765"/>
      <c r="I262" s="765"/>
      <c r="K262" s="763"/>
      <c r="L262" s="763"/>
      <c r="M262" s="763"/>
      <c r="N262" s="763"/>
      <c r="O262" s="763"/>
      <c r="P262" s="763"/>
      <c r="Q262" s="763"/>
      <c r="R262" s="763"/>
      <c r="S262" s="763"/>
      <c r="T262" s="763"/>
      <c r="U262" s="763"/>
    </row>
    <row r="263" spans="1:21" hidden="1">
      <c r="A263" s="765"/>
      <c r="B263" s="765"/>
      <c r="C263" s="765"/>
      <c r="D263" s="765"/>
      <c r="E263" s="765"/>
      <c r="F263" s="765"/>
      <c r="G263" s="765"/>
      <c r="H263" s="765"/>
      <c r="I263" s="765"/>
      <c r="K263" s="763"/>
      <c r="L263" s="763"/>
      <c r="M263" s="763"/>
      <c r="N263" s="763"/>
      <c r="O263" s="763"/>
      <c r="P263" s="763"/>
      <c r="Q263" s="763"/>
      <c r="R263" s="763"/>
      <c r="S263" s="763"/>
      <c r="T263" s="763"/>
      <c r="U263" s="763"/>
    </row>
    <row r="264" spans="1:21" hidden="1">
      <c r="A264" s="765"/>
      <c r="B264" s="765"/>
      <c r="C264" s="765"/>
      <c r="D264" s="765"/>
      <c r="E264" s="765"/>
      <c r="F264" s="765"/>
      <c r="G264" s="765"/>
      <c r="H264" s="765"/>
      <c r="I264" s="765"/>
      <c r="K264" s="763"/>
      <c r="L264" s="763"/>
      <c r="M264" s="763"/>
      <c r="N264" s="763"/>
      <c r="O264" s="763"/>
      <c r="P264" s="763"/>
      <c r="Q264" s="763"/>
      <c r="R264" s="763"/>
      <c r="S264" s="763"/>
      <c r="T264" s="763"/>
      <c r="U264" s="763"/>
    </row>
    <row r="265" spans="1:21">
      <c r="A265" s="539" t="s">
        <v>343</v>
      </c>
      <c r="B265" s="540"/>
      <c r="C265" s="540"/>
      <c r="D265" s="540"/>
      <c r="E265" s="540"/>
      <c r="F265" s="540"/>
      <c r="G265" s="540"/>
      <c r="H265" s="540"/>
      <c r="I265" s="540"/>
      <c r="J265" s="541"/>
      <c r="K265" s="763"/>
      <c r="L265" s="763"/>
      <c r="M265" s="763"/>
      <c r="N265" s="763"/>
      <c r="O265" s="763"/>
      <c r="P265" s="763"/>
      <c r="Q265" s="763"/>
      <c r="R265" s="763"/>
      <c r="S265" s="763"/>
      <c r="T265" s="763"/>
      <c r="U265" s="763"/>
    </row>
    <row r="266" spans="1:21">
      <c r="F266" s="274" t="s">
        <v>195</v>
      </c>
      <c r="G266" s="274" t="s">
        <v>196</v>
      </c>
      <c r="H266" s="4" t="s">
        <v>197</v>
      </c>
      <c r="I266" s="274" t="s">
        <v>190</v>
      </c>
      <c r="J266" s="274" t="s">
        <v>190</v>
      </c>
      <c r="K266" s="763"/>
      <c r="L266" s="763"/>
      <c r="M266" s="763"/>
      <c r="N266" s="763"/>
      <c r="O266" s="763"/>
      <c r="P266" s="763"/>
      <c r="Q266" s="763"/>
      <c r="R266" s="763"/>
      <c r="S266" s="763"/>
      <c r="T266" s="763"/>
      <c r="U266" s="763"/>
    </row>
    <row r="267" spans="1:21">
      <c r="A267" s="677" t="s">
        <v>199</v>
      </c>
      <c r="B267" s="678"/>
      <c r="C267" s="678"/>
      <c r="D267" s="678"/>
      <c r="E267" s="678"/>
      <c r="F267" s="68" t="str">
        <f>'3-Quotation'!P6</f>
        <v>EGP</v>
      </c>
      <c r="G267" s="36">
        <f>'3-Quotation'!Q6</f>
        <v>500</v>
      </c>
      <c r="H267" s="126">
        <f>'3-Quotation'!R6</f>
        <v>0</v>
      </c>
      <c r="I267" s="70">
        <f>'3-Quotation'!S6</f>
        <v>0</v>
      </c>
      <c r="J267" s="126"/>
      <c r="K267" s="763"/>
      <c r="L267" s="763"/>
      <c r="M267" s="763"/>
      <c r="N267" s="763"/>
      <c r="O267" s="763"/>
      <c r="P267" s="763"/>
      <c r="Q267" s="763"/>
      <c r="R267" s="763"/>
      <c r="S267" s="763"/>
      <c r="T267" s="763"/>
      <c r="U267" s="763"/>
    </row>
    <row r="268" spans="1:21" ht="14.25" customHeight="1">
      <c r="A268" s="680" t="s">
        <v>344</v>
      </c>
      <c r="B268" s="681"/>
      <c r="C268" s="681"/>
      <c r="D268" s="766" t="str">
        <f>'3-Quotation'!M7</f>
        <v>for Initializing Cert</v>
      </c>
      <c r="E268" s="766"/>
      <c r="F268" s="72" t="str">
        <f>'3-Quotation'!P7</f>
        <v>NO.</v>
      </c>
      <c r="G268" s="127" t="e">
        <f>'3-Quotation'!Q7</f>
        <v>#N/A</v>
      </c>
      <c r="H268" s="69" t="str">
        <f>'3-Quotation'!R7</f>
        <v>N/A</v>
      </c>
      <c r="I268" s="70">
        <f>'3-Quotation'!S7</f>
        <v>0</v>
      </c>
      <c r="J268" s="56">
        <v>0</v>
      </c>
      <c r="K268" s="763"/>
      <c r="L268" s="763"/>
      <c r="M268" s="763"/>
      <c r="N268" s="763"/>
      <c r="O268" s="763"/>
      <c r="P268" s="763"/>
      <c r="Q268" s="763"/>
      <c r="R268" s="763"/>
      <c r="S268" s="763"/>
      <c r="T268" s="763"/>
      <c r="U268" s="763"/>
    </row>
    <row r="269" spans="1:21" ht="14.25" customHeight="1">
      <c r="A269" s="680" t="s">
        <v>203</v>
      </c>
      <c r="B269" s="681"/>
      <c r="C269" s="681"/>
      <c r="D269" s="681"/>
      <c r="E269" s="681"/>
      <c r="F269" s="72" t="str">
        <f>'3-Quotation'!P8</f>
        <v>NO.</v>
      </c>
      <c r="G269" s="126">
        <f>'3-Quotation'!Q8</f>
        <v>1</v>
      </c>
      <c r="H269" s="126" t="str">
        <f>'3-Quotation'!R8</f>
        <v>N/A</v>
      </c>
      <c r="I269" s="70">
        <f>'3-Quotation'!S8</f>
        <v>0</v>
      </c>
      <c r="J269" s="56">
        <v>0</v>
      </c>
      <c r="K269" s="763"/>
      <c r="L269" s="763"/>
      <c r="M269" s="763"/>
      <c r="N269" s="763"/>
      <c r="O269" s="763"/>
      <c r="P269" s="763"/>
      <c r="Q269" s="763"/>
      <c r="R269" s="763"/>
      <c r="S269" s="763"/>
      <c r="T269" s="763"/>
      <c r="U269" s="763"/>
    </row>
    <row r="270" spans="1:21" ht="14.25" customHeight="1">
      <c r="A270" s="680" t="str">
        <f>'3-Quotation'!J9</f>
        <v>Registration &amp; Audit Fee</v>
      </c>
      <c r="B270" s="681"/>
      <c r="C270" s="681"/>
      <c r="D270" s="681"/>
      <c r="E270" s="681"/>
      <c r="F270" s="72" t="str">
        <f>'3-Quotation'!P9</f>
        <v>EGP</v>
      </c>
      <c r="G270" s="70" t="e">
        <f>'3-Quotation'!Q9</f>
        <v>#N/A</v>
      </c>
      <c r="H270" s="70">
        <f>'3-Quotation'!R9</f>
        <v>0</v>
      </c>
      <c r="I270" s="70" t="e">
        <f>'3-Quotation'!S9</f>
        <v>#N/A</v>
      </c>
      <c r="J270" s="65" t="e">
        <f>H270-(H270*I270)</f>
        <v>#N/A</v>
      </c>
      <c r="K270" s="763"/>
      <c r="L270" s="763"/>
      <c r="M270" s="763"/>
      <c r="N270" s="763"/>
      <c r="O270" s="763"/>
      <c r="P270" s="763"/>
      <c r="Q270" s="763"/>
      <c r="R270" s="763"/>
      <c r="S270" s="763"/>
      <c r="T270" s="763"/>
      <c r="U270" s="763"/>
    </row>
    <row r="271" spans="1:21" ht="14.25" customHeight="1">
      <c r="A271" s="680" t="str">
        <f>'3-Quotation'!J10</f>
        <v>12-Month Surveillance Audit x2</v>
      </c>
      <c r="B271" s="681"/>
      <c r="C271" s="681"/>
      <c r="D271" s="681"/>
      <c r="E271" s="681"/>
      <c r="F271" s="72" t="str">
        <f>'3-Quotation'!P10</f>
        <v>EGP</v>
      </c>
      <c r="G271" s="71">
        <f>'3-Quotation'!Q10</f>
        <v>360</v>
      </c>
      <c r="H271" s="70">
        <f>'3-Quotation'!R10</f>
        <v>0</v>
      </c>
      <c r="I271" s="70">
        <f>'3-Quotation'!S10</f>
        <v>720</v>
      </c>
      <c r="J271" s="65">
        <f>H271-(H271*I271)</f>
        <v>0</v>
      </c>
      <c r="K271" s="763"/>
      <c r="L271" s="763"/>
      <c r="M271" s="763"/>
      <c r="N271" s="763"/>
      <c r="O271" s="763"/>
      <c r="P271" s="763"/>
      <c r="Q271" s="763"/>
      <c r="R271" s="763"/>
      <c r="S271" s="763"/>
      <c r="T271" s="763"/>
      <c r="U271" s="763"/>
    </row>
    <row r="272" spans="1:21" ht="14.65" customHeight="1" thickBot="1">
      <c r="A272" s="45" t="s">
        <v>206</v>
      </c>
      <c r="B272" s="612" t="s">
        <v>345</v>
      </c>
      <c r="C272" s="613"/>
      <c r="D272" s="613"/>
      <c r="E272" s="613"/>
      <c r="F272" s="72" t="str">
        <f>'3-Quotation'!P11</f>
        <v>EGP</v>
      </c>
      <c r="G272" s="36">
        <f>'3-Quotation'!Q11</f>
        <v>0</v>
      </c>
      <c r="H272" s="126">
        <f>'3-Quotation'!R11</f>
        <v>0</v>
      </c>
      <c r="I272" s="70">
        <f>'3-Quotation'!S11</f>
        <v>0</v>
      </c>
      <c r="J272" s="54">
        <f>H272-(H272*I272)</f>
        <v>0</v>
      </c>
      <c r="K272" s="763"/>
      <c r="L272" s="763"/>
      <c r="M272" s="763"/>
      <c r="N272" s="763"/>
      <c r="O272" s="763"/>
      <c r="P272" s="763"/>
      <c r="Q272" s="763"/>
      <c r="R272" s="763"/>
      <c r="S272" s="763"/>
      <c r="T272" s="763"/>
      <c r="U272" s="763"/>
    </row>
    <row r="273" spans="1:21" ht="16.5" thickTop="1" thickBot="1">
      <c r="A273" s="692" t="str">
        <f>'3-Quotation'!J12</f>
        <v>Total Amount</v>
      </c>
      <c r="B273" s="693"/>
      <c r="C273" s="693"/>
      <c r="D273" s="693"/>
      <c r="E273" s="693"/>
      <c r="F273" s="693"/>
      <c r="G273" s="693"/>
      <c r="H273" s="694"/>
      <c r="I273" s="66" t="e">
        <f>'3-Quotation'!S12</f>
        <v>#N/A</v>
      </c>
      <c r="J273" s="66" t="e">
        <f>J267+J270+(J271*2)+J272</f>
        <v>#N/A</v>
      </c>
      <c r="K273" s="763"/>
      <c r="L273" s="763"/>
      <c r="M273" s="763"/>
      <c r="N273" s="763"/>
      <c r="O273" s="763"/>
      <c r="P273" s="763"/>
      <c r="Q273" s="763"/>
      <c r="R273" s="763"/>
      <c r="S273" s="763"/>
      <c r="T273" s="763"/>
      <c r="U273" s="763"/>
    </row>
    <row r="274" spans="1:21" ht="14.45" customHeight="1" thickTop="1">
      <c r="A274" s="764" t="s">
        <v>346</v>
      </c>
      <c r="B274" s="764"/>
      <c r="C274" s="764"/>
      <c r="D274" s="764"/>
      <c r="E274" s="764"/>
      <c r="F274" s="764"/>
      <c r="G274" s="764"/>
      <c r="H274" s="764"/>
      <c r="I274" s="764"/>
      <c r="K274" s="763"/>
      <c r="L274" s="763"/>
      <c r="M274" s="763"/>
      <c r="N274" s="763"/>
      <c r="O274" s="763"/>
      <c r="P274" s="763"/>
      <c r="Q274" s="763"/>
      <c r="R274" s="763"/>
      <c r="S274" s="763"/>
      <c r="T274" s="763"/>
      <c r="U274" s="763"/>
    </row>
    <row r="275" spans="1:21">
      <c r="A275" s="764"/>
      <c r="B275" s="764"/>
      <c r="C275" s="764"/>
      <c r="D275" s="764"/>
      <c r="E275" s="764"/>
      <c r="F275" s="764"/>
      <c r="G275" s="764"/>
      <c r="H275" s="764"/>
      <c r="I275" s="764"/>
      <c r="K275" s="763"/>
      <c r="L275" s="763"/>
      <c r="M275" s="763"/>
      <c r="N275" s="763"/>
      <c r="O275" s="763"/>
      <c r="P275" s="763"/>
      <c r="Q275" s="763"/>
      <c r="R275" s="763"/>
      <c r="S275" s="763"/>
      <c r="T275" s="763"/>
      <c r="U275" s="763"/>
    </row>
    <row r="276" spans="1:21">
      <c r="A276" s="764"/>
      <c r="B276" s="764"/>
      <c r="C276" s="764"/>
      <c r="D276" s="764"/>
      <c r="E276" s="764"/>
      <c r="F276" s="764"/>
      <c r="G276" s="764"/>
      <c r="H276" s="764"/>
      <c r="I276" s="764"/>
      <c r="K276" s="763"/>
      <c r="L276" s="763"/>
      <c r="M276" s="763"/>
      <c r="N276" s="763"/>
      <c r="O276" s="763"/>
      <c r="P276" s="763"/>
      <c r="Q276" s="763"/>
      <c r="R276" s="763"/>
      <c r="S276" s="763"/>
      <c r="T276" s="763"/>
      <c r="U276" s="763"/>
    </row>
    <row r="277" spans="1:21">
      <c r="A277" s="764"/>
      <c r="B277" s="764"/>
      <c r="C277" s="764"/>
      <c r="D277" s="764"/>
      <c r="E277" s="764"/>
      <c r="F277" s="764"/>
      <c r="G277" s="764"/>
      <c r="H277" s="764"/>
      <c r="I277" s="764"/>
      <c r="K277" s="763"/>
      <c r="L277" s="763"/>
      <c r="M277" s="763"/>
      <c r="N277" s="763"/>
      <c r="O277" s="763"/>
      <c r="P277" s="763"/>
      <c r="Q277" s="763"/>
      <c r="R277" s="763"/>
      <c r="S277" s="763"/>
      <c r="T277" s="763"/>
      <c r="U277" s="763"/>
    </row>
    <row r="278" spans="1:21" ht="5.45" customHeight="1">
      <c r="A278" s="764"/>
      <c r="B278" s="764"/>
      <c r="C278" s="764"/>
      <c r="D278" s="764"/>
      <c r="E278" s="764"/>
      <c r="F278" s="764"/>
      <c r="G278" s="764"/>
      <c r="H278" s="764"/>
      <c r="I278" s="764"/>
      <c r="K278" s="763"/>
      <c r="L278" s="763"/>
      <c r="M278" s="763"/>
      <c r="N278" s="763"/>
      <c r="O278" s="763"/>
      <c r="P278" s="763"/>
      <c r="Q278" s="763"/>
      <c r="R278" s="763"/>
      <c r="S278" s="763"/>
      <c r="T278" s="763"/>
      <c r="U278" s="763"/>
    </row>
    <row r="279" spans="1:21">
      <c r="A279" s="764"/>
      <c r="B279" s="764"/>
      <c r="C279" s="764"/>
      <c r="D279" s="764"/>
      <c r="E279" s="764"/>
      <c r="F279" s="764"/>
      <c r="G279" s="764"/>
      <c r="H279" s="764"/>
      <c r="I279" s="764"/>
      <c r="K279" s="763"/>
      <c r="L279" s="763"/>
      <c r="M279" s="763"/>
      <c r="N279" s="763"/>
      <c r="O279" s="763"/>
      <c r="P279" s="763"/>
      <c r="Q279" s="763"/>
      <c r="R279" s="763"/>
      <c r="S279" s="763"/>
      <c r="T279" s="763"/>
      <c r="U279" s="763"/>
    </row>
    <row r="280" spans="1:21" ht="22.9" customHeight="1">
      <c r="A280" s="764"/>
      <c r="B280" s="764"/>
      <c r="C280" s="764"/>
      <c r="D280" s="764"/>
      <c r="E280" s="764"/>
      <c r="F280" s="764"/>
      <c r="G280" s="764"/>
      <c r="H280" s="764"/>
      <c r="I280" s="764"/>
      <c r="K280" s="763"/>
      <c r="L280" s="763"/>
      <c r="M280" s="763"/>
      <c r="N280" s="763"/>
      <c r="O280" s="763"/>
      <c r="P280" s="763"/>
      <c r="Q280" s="763"/>
      <c r="R280" s="763"/>
      <c r="S280" s="763"/>
      <c r="T280" s="763"/>
      <c r="U280" s="763"/>
    </row>
    <row r="281" spans="1:21" ht="6.4" customHeight="1">
      <c r="A281" s="764"/>
      <c r="B281" s="764"/>
      <c r="C281" s="764"/>
      <c r="D281" s="764"/>
      <c r="E281" s="764"/>
      <c r="F281" s="764"/>
      <c r="G281" s="764"/>
      <c r="H281" s="764"/>
      <c r="I281" s="764"/>
      <c r="K281" s="75"/>
      <c r="L281" s="75"/>
      <c r="M281" s="75"/>
      <c r="N281" s="75"/>
      <c r="O281" s="75"/>
      <c r="P281" s="75"/>
      <c r="Q281" s="75"/>
      <c r="R281" s="75"/>
      <c r="S281" s="75"/>
      <c r="T281" s="75"/>
      <c r="U281" s="75"/>
    </row>
    <row r="282" spans="1:21" ht="9.9499999999999993" customHeight="1">
      <c r="A282" s="764"/>
      <c r="B282" s="764"/>
      <c r="C282" s="764"/>
      <c r="D282" s="764"/>
      <c r="E282" s="764"/>
      <c r="F282" s="764"/>
      <c r="G282" s="764"/>
      <c r="H282" s="764"/>
      <c r="I282" s="764"/>
      <c r="K282" s="75"/>
      <c r="L282" s="75"/>
      <c r="M282" s="75"/>
      <c r="N282" s="75"/>
      <c r="O282" s="75"/>
      <c r="P282" s="75"/>
      <c r="Q282" s="75"/>
      <c r="R282" s="762" t="s">
        <v>347</v>
      </c>
      <c r="S282" s="762"/>
      <c r="T282" s="762"/>
      <c r="U282" s="762"/>
    </row>
    <row r="283" spans="1:21" ht="5.65" customHeight="1">
      <c r="A283" s="764"/>
      <c r="B283" s="764"/>
      <c r="C283" s="764"/>
      <c r="D283" s="764"/>
      <c r="E283" s="764"/>
      <c r="F283" s="764"/>
      <c r="G283" s="764"/>
      <c r="H283" s="764"/>
      <c r="I283" s="764"/>
      <c r="K283" s="75"/>
      <c r="L283" s="75"/>
      <c r="M283" s="75"/>
      <c r="N283" s="75"/>
      <c r="O283" s="75"/>
      <c r="P283" s="75"/>
      <c r="Q283" s="75"/>
      <c r="R283" s="762"/>
      <c r="S283" s="762"/>
      <c r="T283" s="762"/>
      <c r="U283" s="762"/>
    </row>
    <row r="284" spans="1:21">
      <c r="A284" s="723" t="s">
        <v>214</v>
      </c>
      <c r="B284" s="723"/>
      <c r="C284" s="723"/>
      <c r="D284" s="723"/>
      <c r="E284" s="723"/>
      <c r="F284" s="723"/>
      <c r="G284" s="76">
        <f>G47</f>
        <v>0</v>
      </c>
      <c r="H284" s="717" t="str">
        <f>H141</f>
        <v>CSC-Q0-2022</v>
      </c>
      <c r="I284" s="717"/>
      <c r="J284" s="717"/>
      <c r="K284" s="710" t="s">
        <v>214</v>
      </c>
      <c r="L284" s="710"/>
      <c r="M284" s="710"/>
      <c r="N284" s="710"/>
      <c r="O284" s="710"/>
      <c r="P284" s="710"/>
      <c r="Q284" s="710"/>
      <c r="R284" s="78">
        <f>G47</f>
        <v>0</v>
      </c>
      <c r="S284" s="717" t="str">
        <f>H141</f>
        <v>CSC-Q0-2022</v>
      </c>
      <c r="T284" s="717"/>
      <c r="U284" s="717"/>
    </row>
  </sheetData>
  <sheetProtection algorithmName="SHA-512" hashValue="yVPoJF0SYX6fp+Xw9f7/8XUfI68AcipINtdiRkBQnUPYlIwCGrblsYRCgvra3Ce4Oa3kJT+T4MpSC7NX4RgEvQ==" saltValue="fg7GV2K+nU554VZHim/pvA==" spinCount="100000" sheet="1" objects="1" scenarios="1" formatCells="0" formatColumns="0" formatRows="0" selectLockedCells="1"/>
  <dataConsolidate function="varp">
    <dataRefs count="1">
      <dataRef ref="C1:C1048576" sheet="Classification" r:id="rId1"/>
    </dataRefs>
  </dataConsolidate>
  <mergeCells count="229">
    <mergeCell ref="K243:N243"/>
    <mergeCell ref="K244:O244"/>
    <mergeCell ref="K217:U217"/>
    <mergeCell ref="F237:J237"/>
    <mergeCell ref="E165:I166"/>
    <mergeCell ref="A235:F235"/>
    <mergeCell ref="S188:U188"/>
    <mergeCell ref="S235:U235"/>
    <mergeCell ref="E168:I168"/>
    <mergeCell ref="E169:I169"/>
    <mergeCell ref="K152:U173"/>
    <mergeCell ref="A154:J154"/>
    <mergeCell ref="P243:S243"/>
    <mergeCell ref="P244:S244"/>
    <mergeCell ref="H284:J284"/>
    <mergeCell ref="A249:I264"/>
    <mergeCell ref="A265:J265"/>
    <mergeCell ref="A273:H273"/>
    <mergeCell ref="A269:E269"/>
    <mergeCell ref="A270:E270"/>
    <mergeCell ref="A271:E271"/>
    <mergeCell ref="B272:E272"/>
    <mergeCell ref="A267:E267"/>
    <mergeCell ref="A274:I283"/>
    <mergeCell ref="A284:F284"/>
    <mergeCell ref="A268:C268"/>
    <mergeCell ref="D268:E268"/>
    <mergeCell ref="P247:S247"/>
    <mergeCell ref="A239:I247"/>
    <mergeCell ref="A248:J248"/>
    <mergeCell ref="K248:N248"/>
    <mergeCell ref="K95:N97"/>
    <mergeCell ref="A110:B110"/>
    <mergeCell ref="C110:I110"/>
    <mergeCell ref="A107:B107"/>
    <mergeCell ref="C107:I107"/>
    <mergeCell ref="A100:B100"/>
    <mergeCell ref="C100:I100"/>
    <mergeCell ref="A103:B103"/>
    <mergeCell ref="A99:I99"/>
    <mergeCell ref="A95:D97"/>
    <mergeCell ref="A141:F141"/>
    <mergeCell ref="H141:I141"/>
    <mergeCell ref="S141:U141"/>
    <mergeCell ref="A138:I140"/>
    <mergeCell ref="K245:O246"/>
    <mergeCell ref="A229:J229"/>
    <mergeCell ref="A230:I234"/>
    <mergeCell ref="K218:U224"/>
    <mergeCell ref="K225:U225"/>
    <mergeCell ref="K239:U239"/>
    <mergeCell ref="A64:I64"/>
    <mergeCell ref="A65:I88"/>
    <mergeCell ref="A89:I93"/>
    <mergeCell ref="K284:Q284"/>
    <mergeCell ref="P249:S249"/>
    <mergeCell ref="P245:S246"/>
    <mergeCell ref="K249:N249"/>
    <mergeCell ref="K241:O242"/>
    <mergeCell ref="P241:U242"/>
    <mergeCell ref="K254:U254"/>
    <mergeCell ref="R189:U189"/>
    <mergeCell ref="P190:U190"/>
    <mergeCell ref="Q191:U191"/>
    <mergeCell ref="K189:N191"/>
    <mergeCell ref="K192:U203"/>
    <mergeCell ref="K204:U204"/>
    <mergeCell ref="K205:U216"/>
    <mergeCell ref="R282:U283"/>
    <mergeCell ref="K255:U280"/>
    <mergeCell ref="K236:N238"/>
    <mergeCell ref="R236:U236"/>
    <mergeCell ref="P237:U237"/>
    <mergeCell ref="Q238:U238"/>
    <mergeCell ref="A125:J125"/>
    <mergeCell ref="B19:H20"/>
    <mergeCell ref="L23:S26"/>
    <mergeCell ref="A112:J112"/>
    <mergeCell ref="I95:J95"/>
    <mergeCell ref="G96:J96"/>
    <mergeCell ref="A98:J98"/>
    <mergeCell ref="K98:U107"/>
    <mergeCell ref="A113:I124"/>
    <mergeCell ref="A31:C31"/>
    <mergeCell ref="A32:C32"/>
    <mergeCell ref="A33:C33"/>
    <mergeCell ref="A51:I55"/>
    <mergeCell ref="K83:U93"/>
    <mergeCell ref="K71:U82"/>
    <mergeCell ref="K56:U70"/>
    <mergeCell ref="A43:I45"/>
    <mergeCell ref="A47:F47"/>
    <mergeCell ref="K94:Q94"/>
    <mergeCell ref="A94:F94"/>
    <mergeCell ref="H94:I94"/>
    <mergeCell ref="S94:U94"/>
    <mergeCell ref="R95:U95"/>
    <mergeCell ref="P96:U96"/>
    <mergeCell ref="Q97:U97"/>
    <mergeCell ref="A22:I23"/>
    <mergeCell ref="A25:C26"/>
    <mergeCell ref="A27:C28"/>
    <mergeCell ref="A29:C29"/>
    <mergeCell ref="A48:D50"/>
    <mergeCell ref="I48:J48"/>
    <mergeCell ref="G49:J49"/>
    <mergeCell ref="J47:Q47"/>
    <mergeCell ref="A34:C34"/>
    <mergeCell ref="A35:I37"/>
    <mergeCell ref="K40:U40"/>
    <mergeCell ref="K44:U46"/>
    <mergeCell ref="S47:U47"/>
    <mergeCell ref="H47:I47"/>
    <mergeCell ref="H1:I1"/>
    <mergeCell ref="G2:I2"/>
    <mergeCell ref="G3:I3"/>
    <mergeCell ref="F7:G7"/>
    <mergeCell ref="C7:D7"/>
    <mergeCell ref="D13:F15"/>
    <mergeCell ref="D16:F17"/>
    <mergeCell ref="A10:I11"/>
    <mergeCell ref="A7:B7"/>
    <mergeCell ref="H7:I7"/>
    <mergeCell ref="H8:I8"/>
    <mergeCell ref="F8:G8"/>
    <mergeCell ref="Q3:U3"/>
    <mergeCell ref="J1:N3"/>
    <mergeCell ref="K9:U9"/>
    <mergeCell ref="P2:U2"/>
    <mergeCell ref="R1:U1"/>
    <mergeCell ref="K51:U55"/>
    <mergeCell ref="R48:U48"/>
    <mergeCell ref="P49:U49"/>
    <mergeCell ref="Q50:U50"/>
    <mergeCell ref="K48:N50"/>
    <mergeCell ref="L27:Q30"/>
    <mergeCell ref="K17:U17"/>
    <mergeCell ref="K41:L41"/>
    <mergeCell ref="M41:R41"/>
    <mergeCell ref="K43:L43"/>
    <mergeCell ref="K5:U8"/>
    <mergeCell ref="K10:U16"/>
    <mergeCell ref="K4:U4"/>
    <mergeCell ref="K18:U21"/>
    <mergeCell ref="K32:U37"/>
    <mergeCell ref="K39:U39"/>
    <mergeCell ref="G50:J50"/>
    <mergeCell ref="A4:I4"/>
    <mergeCell ref="A1:D3"/>
    <mergeCell ref="A56:I56"/>
    <mergeCell ref="A57:I58"/>
    <mergeCell ref="A59:B59"/>
    <mergeCell ref="A60:B60"/>
    <mergeCell ref="A61:B61"/>
    <mergeCell ref="A62:B62"/>
    <mergeCell ref="C59:I59"/>
    <mergeCell ref="C60:I60"/>
    <mergeCell ref="C61:I61"/>
    <mergeCell ref="K108:U133"/>
    <mergeCell ref="A126:I136"/>
    <mergeCell ref="A137:J137"/>
    <mergeCell ref="G97:J97"/>
    <mergeCell ref="A108:B108"/>
    <mergeCell ref="A109:B109"/>
    <mergeCell ref="A104:B104"/>
    <mergeCell ref="A105:B105"/>
    <mergeCell ref="C105:I105"/>
    <mergeCell ref="A106:B106"/>
    <mergeCell ref="A101:B101"/>
    <mergeCell ref="A102:B102"/>
    <mergeCell ref="C102:I102"/>
    <mergeCell ref="E101:F101"/>
    <mergeCell ref="K141:Q141"/>
    <mergeCell ref="K134:U134"/>
    <mergeCell ref="K135:U140"/>
    <mergeCell ref="R142:U142"/>
    <mergeCell ref="P143:U143"/>
    <mergeCell ref="Q144:U144"/>
    <mergeCell ref="K142:N144"/>
    <mergeCell ref="K145:U150"/>
    <mergeCell ref="K151:U151"/>
    <mergeCell ref="A142:D144"/>
    <mergeCell ref="I142:J142"/>
    <mergeCell ref="G143:J143"/>
    <mergeCell ref="G144:J144"/>
    <mergeCell ref="A145:I153"/>
    <mergeCell ref="A188:F188"/>
    <mergeCell ref="A155:I160"/>
    <mergeCell ref="A161:D162"/>
    <mergeCell ref="E161:I162"/>
    <mergeCell ref="A163:D163"/>
    <mergeCell ref="A164:D164"/>
    <mergeCell ref="A165:D165"/>
    <mergeCell ref="A166:D166"/>
    <mergeCell ref="A167:D167"/>
    <mergeCell ref="A168:D168"/>
    <mergeCell ref="A169:D169"/>
    <mergeCell ref="A170:D170"/>
    <mergeCell ref="A171:D171"/>
    <mergeCell ref="E163:I163"/>
    <mergeCell ref="E170:I171"/>
    <mergeCell ref="E164:I164"/>
    <mergeCell ref="E167:I167"/>
    <mergeCell ref="H188:J188"/>
    <mergeCell ref="A184:I187"/>
    <mergeCell ref="K251:U251"/>
    <mergeCell ref="K252:U252"/>
    <mergeCell ref="S284:U284"/>
    <mergeCell ref="A172:J172"/>
    <mergeCell ref="A173:I182"/>
    <mergeCell ref="A183:J183"/>
    <mergeCell ref="K174:U174"/>
    <mergeCell ref="K175:U187"/>
    <mergeCell ref="K188:Q188"/>
    <mergeCell ref="K226:U234"/>
    <mergeCell ref="K235:Q235"/>
    <mergeCell ref="A236:D238"/>
    <mergeCell ref="I236:J236"/>
    <mergeCell ref="G238:J238"/>
    <mergeCell ref="A189:D191"/>
    <mergeCell ref="I189:J189"/>
    <mergeCell ref="G190:J190"/>
    <mergeCell ref="G191:J191"/>
    <mergeCell ref="A192:I207"/>
    <mergeCell ref="A208:J208"/>
    <mergeCell ref="H235:J235"/>
    <mergeCell ref="A209:I228"/>
    <mergeCell ref="K247:N247"/>
    <mergeCell ref="P248:S248"/>
  </mergeCells>
  <conditionalFormatting sqref="A89">
    <cfRule type="containsText" dxfId="48" priority="9" operator="containsText" text="That's enough">
      <formula>NOT(ISERROR(SEARCH("That's enough",A89)))</formula>
    </cfRule>
    <cfRule type="containsText" dxfId="47" priority="10" operator="containsText" text="Justified Please:">
      <formula>NOT(ISERROR(SEARCH("Justified Please:",A89)))</formula>
    </cfRule>
  </conditionalFormatting>
  <conditionalFormatting sqref="D16:F17">
    <cfRule type="containsText" dxfId="46" priority="2" operator="containsText" text="(enter agency name), if available">
      <formula>NOT(ISERROR(SEARCH("(enter agency name), if available",D16)))</formula>
    </cfRule>
  </conditionalFormatting>
  <conditionalFormatting sqref="H7:I8">
    <cfRule type="containsBlanks" dxfId="45" priority="3">
      <formula>LEN(TRIM(H7))=0</formula>
    </cfRule>
  </conditionalFormatting>
  <conditionalFormatting sqref="K43:L43">
    <cfRule type="containsText" dxfId="44" priority="7" operator="containsText" text="That's enough">
      <formula>NOT(ISERROR(SEARCH("That's enough",K43)))</formula>
    </cfRule>
    <cfRule type="containsText" dxfId="43" priority="8" operator="containsText" text="Justified Please:">
      <formula>NOT(ISERROR(SEARCH("Justified Please:",K43)))</formula>
    </cfRule>
  </conditionalFormatting>
  <conditionalFormatting sqref="R282:U283">
    <cfRule type="containsText" dxfId="42" priority="1" operator="containsText" text="Create ATJIF">
      <formula>NOT(ISERROR(SEARCH("Create ATJIF",R282)))</formula>
    </cfRule>
  </conditionalFormatting>
  <dataValidations count="2">
    <dataValidation type="list" allowBlank="1" showInputMessage="1" showErrorMessage="1" sqref="R282:U283" xr:uid="{00000000-0002-0000-0600-000000000000}">
      <formula1>"Create ATJIF"</formula1>
    </dataValidation>
    <dataValidation type="list" allowBlank="1" showInputMessage="1" showErrorMessage="1" sqref="M41 T41" xr:uid="{00000000-0002-0000-0600-000001000000}">
      <formula1>$T$227:$T$228</formula1>
    </dataValidation>
  </dataValidations>
  <hyperlinks>
    <hyperlink ref="R282:U283" location="'5-ATJIF-01'!A1" display="Create ATJIF-01" xr:uid="{00000000-0004-0000-0600-000000000000}"/>
  </hyperlinks>
  <pageMargins left="0.7" right="0.7" top="0.75" bottom="0.75" header="0.3" footer="0.3"/>
  <pageSetup pageOrder="overThenDown"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Sheet2!$W$227:$W$228</xm:f>
          </x14:formula1>
          <xm:sqref>J88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S41"/>
  <sheetViews>
    <sheetView showGridLines="0" zoomScaleNormal="100" workbookViewId="0">
      <selection activeCell="L13" sqref="L13:M13"/>
    </sheetView>
  </sheetViews>
  <sheetFormatPr defaultColWidth="9" defaultRowHeight="15"/>
  <cols>
    <col min="1" max="1" width="9" style="141"/>
    <col min="2" max="2" width="12.42578125" style="141" customWidth="1"/>
    <col min="3" max="3" width="9" style="141" customWidth="1"/>
    <col min="4" max="4" width="10.42578125" style="141" customWidth="1"/>
    <col min="5" max="5" width="8.140625" style="141" customWidth="1"/>
    <col min="6" max="6" width="10" style="141" customWidth="1"/>
    <col min="7" max="7" width="7.42578125" style="141" customWidth="1"/>
    <col min="8" max="8" width="10.5703125" style="141" customWidth="1"/>
    <col min="9" max="11" width="9" style="141"/>
    <col min="12" max="12" width="9.5703125" style="141" bestFit="1" customWidth="1"/>
    <col min="13" max="14" width="9" style="141"/>
    <col min="15" max="15" width="9" style="141" customWidth="1"/>
    <col min="16" max="16" width="9" style="141"/>
    <col min="17" max="17" width="9.42578125" style="141" bestFit="1" customWidth="1"/>
    <col min="18" max="18" width="8.42578125" style="141" customWidth="1"/>
    <col min="19" max="19" width="7.42578125" style="141" customWidth="1"/>
    <col min="20" max="16384" width="9" style="141"/>
  </cols>
  <sheetData>
    <row r="1" spans="1:19" ht="14.25" customHeight="1">
      <c r="A1" s="799" t="s">
        <v>1</v>
      </c>
      <c r="B1" s="799"/>
      <c r="C1" s="799"/>
      <c r="D1" s="799"/>
      <c r="E1" s="797" t="s">
        <v>348</v>
      </c>
      <c r="F1" s="797"/>
      <c r="G1" s="797"/>
      <c r="H1" s="797"/>
      <c r="I1" s="140" t="s">
        <v>349</v>
      </c>
      <c r="J1" s="799" t="s">
        <v>3</v>
      </c>
      <c r="K1" s="799"/>
      <c r="L1" s="799"/>
      <c r="M1" s="799"/>
      <c r="O1" s="797" t="s">
        <v>348</v>
      </c>
      <c r="P1" s="797"/>
      <c r="Q1" s="797"/>
      <c r="R1" s="797"/>
      <c r="S1" s="176" t="s">
        <v>349</v>
      </c>
    </row>
    <row r="2" spans="1:19" ht="14.25" customHeight="1">
      <c r="A2" s="799"/>
      <c r="B2" s="799"/>
      <c r="C2" s="799"/>
      <c r="D2" s="799"/>
      <c r="E2" s="797"/>
      <c r="F2" s="797"/>
      <c r="G2" s="797"/>
      <c r="H2" s="797"/>
      <c r="I2" s="140" t="s">
        <v>350</v>
      </c>
      <c r="J2" s="799"/>
      <c r="K2" s="799"/>
      <c r="L2" s="799"/>
      <c r="M2" s="799"/>
      <c r="O2" s="797"/>
      <c r="P2" s="797"/>
      <c r="Q2" s="797"/>
      <c r="R2" s="797"/>
      <c r="S2" s="176" t="s">
        <v>351</v>
      </c>
    </row>
    <row r="3" spans="1:19" ht="14.25" customHeight="1">
      <c r="A3" s="799"/>
      <c r="B3" s="799"/>
      <c r="C3" s="799"/>
      <c r="D3" s="799"/>
      <c r="E3" s="140"/>
      <c r="F3" s="140"/>
      <c r="G3" s="547" t="s">
        <v>1091</v>
      </c>
      <c r="H3" s="547"/>
      <c r="I3" s="547"/>
      <c r="J3" s="799"/>
      <c r="K3" s="799"/>
      <c r="L3" s="799"/>
      <c r="M3" s="799"/>
      <c r="O3" s="140"/>
      <c r="P3" s="140"/>
      <c r="Q3" s="547" t="s">
        <v>1091</v>
      </c>
      <c r="R3" s="547"/>
      <c r="S3" s="547"/>
    </row>
    <row r="4" spans="1:19" ht="14.25" customHeight="1">
      <c r="A4" s="783" t="s">
        <v>218</v>
      </c>
      <c r="B4" s="784"/>
      <c r="C4" s="784"/>
      <c r="D4" s="784"/>
      <c r="E4" s="784"/>
      <c r="F4" s="784"/>
      <c r="G4" s="784"/>
      <c r="H4" s="784"/>
      <c r="I4" s="784"/>
      <c r="J4" s="800" t="s">
        <v>352</v>
      </c>
      <c r="K4" s="800"/>
      <c r="L4" s="800"/>
      <c r="M4" s="800"/>
      <c r="N4" s="800"/>
      <c r="O4" s="800"/>
      <c r="P4" s="800"/>
      <c r="Q4" s="800"/>
      <c r="R4" s="800"/>
      <c r="S4" s="800"/>
    </row>
    <row r="5" spans="1:19">
      <c r="A5" s="835" t="s">
        <v>353</v>
      </c>
      <c r="B5" s="835"/>
      <c r="C5" s="835"/>
      <c r="D5" s="835"/>
      <c r="E5" s="835"/>
      <c r="F5" s="835"/>
      <c r="G5" s="835"/>
      <c r="H5" s="142"/>
      <c r="I5" s="142"/>
      <c r="J5" s="800"/>
      <c r="K5" s="800"/>
      <c r="L5" s="800"/>
      <c r="M5" s="800"/>
      <c r="N5" s="800"/>
      <c r="O5" s="800"/>
      <c r="P5" s="800"/>
      <c r="Q5" s="800"/>
      <c r="R5" s="800"/>
      <c r="S5" s="800"/>
    </row>
    <row r="6" spans="1:19">
      <c r="J6" s="800"/>
      <c r="K6" s="800"/>
      <c r="L6" s="800"/>
      <c r="M6" s="800"/>
      <c r="N6" s="800"/>
      <c r="O6" s="800"/>
      <c r="P6" s="800"/>
      <c r="Q6" s="800"/>
      <c r="R6" s="800"/>
      <c r="S6" s="800"/>
    </row>
    <row r="7" spans="1:19">
      <c r="A7" s="143" t="s">
        <v>70</v>
      </c>
      <c r="B7" s="166"/>
      <c r="C7" s="144"/>
      <c r="D7" s="144"/>
      <c r="F7" s="798" t="s">
        <v>222</v>
      </c>
      <c r="G7" s="798"/>
      <c r="H7" s="774" t="str">
        <f>'4-Contract'!H7:I7</f>
        <v>CSC-Q0-2022</v>
      </c>
      <c r="I7" s="774"/>
      <c r="J7" s="800"/>
      <c r="K7" s="800"/>
      <c r="L7" s="800"/>
      <c r="M7" s="800"/>
      <c r="N7" s="800"/>
      <c r="O7" s="800"/>
      <c r="P7" s="800"/>
      <c r="Q7" s="800"/>
      <c r="R7" s="800"/>
      <c r="S7" s="800"/>
    </row>
    <row r="8" spans="1:19">
      <c r="A8" s="278"/>
      <c r="B8" s="278"/>
      <c r="C8" s="280"/>
      <c r="D8" s="280"/>
      <c r="F8" s="798" t="s">
        <v>223</v>
      </c>
      <c r="G8" s="798"/>
      <c r="H8" s="775">
        <f>'4-Contract'!H8:I8</f>
        <v>0</v>
      </c>
      <c r="I8" s="775"/>
      <c r="J8" s="800"/>
      <c r="K8" s="800"/>
      <c r="L8" s="800"/>
      <c r="M8" s="800"/>
      <c r="N8" s="800"/>
      <c r="O8" s="800"/>
      <c r="P8" s="800"/>
      <c r="Q8" s="800"/>
      <c r="R8" s="800"/>
      <c r="S8" s="800"/>
    </row>
    <row r="9" spans="1:19">
      <c r="A9" s="773" t="s">
        <v>354</v>
      </c>
      <c r="B9" s="773"/>
      <c r="C9" s="773"/>
      <c r="D9" s="773"/>
      <c r="E9" s="773"/>
      <c r="F9" s="773"/>
      <c r="G9" s="773"/>
      <c r="H9" s="773"/>
      <c r="I9" s="773"/>
      <c r="J9" s="776" t="s">
        <v>355</v>
      </c>
      <c r="K9" s="777"/>
      <c r="L9" s="777"/>
      <c r="M9" s="777"/>
      <c r="N9" s="777"/>
      <c r="O9" s="777"/>
      <c r="P9" s="777"/>
      <c r="Q9" s="777"/>
      <c r="R9" s="777"/>
      <c r="S9" s="777"/>
    </row>
    <row r="10" spans="1:19">
      <c r="A10" s="145"/>
      <c r="B10" s="145"/>
      <c r="C10" s="145"/>
      <c r="D10" s="145"/>
      <c r="E10" s="145"/>
      <c r="F10" s="145"/>
      <c r="G10" s="145"/>
      <c r="H10" s="145"/>
      <c r="I10" s="145"/>
      <c r="J10" s="146"/>
      <c r="K10" s="146"/>
      <c r="L10" s="146"/>
      <c r="M10" s="146"/>
      <c r="N10" s="146"/>
      <c r="O10" s="146"/>
      <c r="P10" s="146"/>
      <c r="Q10" s="146"/>
      <c r="R10" s="146"/>
      <c r="S10" s="146"/>
    </row>
    <row r="11" spans="1:19" ht="14.25" customHeight="1">
      <c r="A11" s="783" t="s">
        <v>356</v>
      </c>
      <c r="B11" s="784"/>
      <c r="C11" s="784"/>
      <c r="D11" s="784"/>
      <c r="E11" s="784"/>
      <c r="F11" s="784"/>
      <c r="G11" s="784"/>
      <c r="H11" s="784"/>
      <c r="I11" s="784"/>
      <c r="J11" s="779"/>
      <c r="K11" s="780"/>
      <c r="L11" s="778" t="str">
        <f>'2-Calc. Sheet'!D28</f>
        <v>Lead Auditor</v>
      </c>
      <c r="M11" s="778"/>
      <c r="N11" s="778">
        <f>'2-Calc. Sheet'!D29</f>
        <v>0</v>
      </c>
      <c r="O11" s="778"/>
      <c r="P11" s="778">
        <f>'2-Calc. Sheet'!D30</f>
        <v>0</v>
      </c>
      <c r="Q11" s="778"/>
      <c r="R11" s="778">
        <f>'2-Calc. Sheet'!D31</f>
        <v>0</v>
      </c>
      <c r="S11" s="778"/>
    </row>
    <row r="12" spans="1:19">
      <c r="J12" s="781"/>
      <c r="K12" s="782"/>
      <c r="L12" s="778"/>
      <c r="M12" s="778"/>
      <c r="N12" s="778"/>
      <c r="O12" s="778"/>
      <c r="P12" s="778"/>
      <c r="Q12" s="778"/>
      <c r="R12" s="778"/>
      <c r="S12" s="778"/>
    </row>
    <row r="13" spans="1:19" ht="24.75" customHeight="1">
      <c r="A13" s="785" t="s">
        <v>112</v>
      </c>
      <c r="B13" s="785"/>
      <c r="C13" s="790">
        <f>'3-Quotation'!C6:F6</f>
        <v>0</v>
      </c>
      <c r="D13" s="791"/>
      <c r="E13" s="791"/>
      <c r="F13" s="791"/>
      <c r="G13" s="792"/>
      <c r="H13" s="147" t="s">
        <v>9</v>
      </c>
      <c r="I13" s="157" t="str">
        <f>'1-Questionnaire'!I5</f>
        <v>Q0</v>
      </c>
      <c r="J13" s="786" t="s">
        <v>357</v>
      </c>
      <c r="K13" s="786"/>
      <c r="L13" s="841"/>
      <c r="M13" s="842"/>
      <c r="N13" s="841" t="e">
        <f>'2-Calc. Sheet'!B29</f>
        <v>#N/A</v>
      </c>
      <c r="O13" s="842"/>
      <c r="P13" s="841" t="e">
        <f>'2-Calc. Sheet'!B30</f>
        <v>#N/A</v>
      </c>
      <c r="Q13" s="842"/>
      <c r="R13" s="841"/>
      <c r="S13" s="842"/>
    </row>
    <row r="14" spans="1:19" ht="23.65" customHeight="1">
      <c r="A14" s="785" t="s">
        <v>12</v>
      </c>
      <c r="B14" s="785"/>
      <c r="C14" s="790">
        <f>'3-Quotation'!C7:F7</f>
        <v>0</v>
      </c>
      <c r="D14" s="791"/>
      <c r="E14" s="791"/>
      <c r="F14" s="791"/>
      <c r="G14" s="792"/>
      <c r="H14" s="147" t="s">
        <v>13</v>
      </c>
      <c r="I14" s="158" t="str">
        <f>'1-Questionnaire'!I6</f>
        <v>Egypt</v>
      </c>
      <c r="J14" s="786" t="s">
        <v>358</v>
      </c>
      <c r="K14" s="786"/>
      <c r="L14" s="839" t="e">
        <f>IF(ISNA(L13),"N/A",IF(C19="Stage I",'2-Calc. Sheet'!N33,IF(C19="Stage I (RC)",'2-Calc. Sheet'!N33,IF(C19="Stage II",'2-Calc. Sheet'!O33,IF(C19="Surveillance I",'2-Calc. Sheet'!P33,IF(C19="Surveillance II",'2-Calc. Sheet'!Q33,IF(C19="Recertification ",'2-Calc. Sheet'!R33,IF(C19="Pre-assessment",1,IF(C19="Scope Ext.",(SUM('2-Calc. Sheet'!O27:O29)+SUM('2-Calc. Sheet'!Q25:S25)+SUM('2-Calc. Sheet'!S27:S30)+(SUM('2-Calc. Sheet'!N30:O30)-1)),IF(ISBLANK(C19)," ","Ask For Advise"))))))))))</f>
        <v>#N/A</v>
      </c>
      <c r="M14" s="840"/>
      <c r="N14" s="818" t="e">
        <f>IF(L14=" "," ",IF(ISNUMBER(L14),"Adjusted based on IAF MD 5:2015 and/or IAF MD 22:2018",IF(ISTEXT(L14),"Specify here", " ")))</f>
        <v>#N/A</v>
      </c>
      <c r="O14" s="818"/>
      <c r="P14" s="818"/>
      <c r="Q14" s="818"/>
      <c r="R14" s="819"/>
      <c r="S14" s="820"/>
    </row>
    <row r="15" spans="1:19" ht="23.65" customHeight="1">
      <c r="A15" s="786" t="s">
        <v>359</v>
      </c>
      <c r="B15" s="786"/>
      <c r="C15" s="787" t="str">
        <f>'3-Quotation'!C8:F8</f>
        <v xml:space="preserve"> </v>
      </c>
      <c r="D15" s="788"/>
      <c r="E15" s="788"/>
      <c r="F15" s="788"/>
      <c r="G15" s="788"/>
      <c r="H15" s="789"/>
      <c r="I15" s="159" t="s">
        <v>119</v>
      </c>
      <c r="J15" s="785" t="s">
        <v>360</v>
      </c>
      <c r="K15" s="785"/>
      <c r="L15" s="836"/>
      <c r="M15" s="837"/>
      <c r="N15" s="838"/>
      <c r="O15" s="843" t="s">
        <v>361</v>
      </c>
      <c r="P15" s="843"/>
      <c r="Q15" s="817"/>
      <c r="R15" s="817"/>
      <c r="S15" s="817"/>
    </row>
    <row r="16" spans="1:19" ht="24.4" customHeight="1">
      <c r="A16" s="795" t="s">
        <v>17</v>
      </c>
      <c r="B16" s="796"/>
      <c r="C16" s="790">
        <f>'1-Questionnaire'!C7:G7</f>
        <v>0</v>
      </c>
      <c r="D16" s="791"/>
      <c r="E16" s="791"/>
      <c r="F16" s="791"/>
      <c r="G16" s="792"/>
      <c r="H16" s="151" t="s">
        <v>18</v>
      </c>
      <c r="I16" s="160" t="str">
        <f>'1-Questionnaire'!I7</f>
        <v>GM</v>
      </c>
      <c r="J16" s="785" t="s">
        <v>362</v>
      </c>
      <c r="K16" s="785"/>
      <c r="L16" s="821"/>
      <c r="M16" s="821"/>
      <c r="N16" s="821"/>
      <c r="O16" s="821"/>
      <c r="P16" s="821"/>
      <c r="Q16" s="821"/>
      <c r="R16" s="821"/>
      <c r="S16" s="821"/>
    </row>
    <row r="17" spans="1:19" ht="14.65" customHeight="1">
      <c r="A17" s="795" t="s">
        <v>22</v>
      </c>
      <c r="B17" s="796"/>
      <c r="C17" s="806" t="str">
        <f>'1-Questionnaire'!C8</f>
        <v>Tel:</v>
      </c>
      <c r="D17" s="807"/>
      <c r="E17" s="806" t="str">
        <f>'1-Questionnaire'!E8:F8</f>
        <v>Fax:</v>
      </c>
      <c r="F17" s="807"/>
      <c r="G17" s="803" t="str">
        <f>'1-Questionnaire'!G8</f>
        <v>E-mail:</v>
      </c>
      <c r="H17" s="804"/>
      <c r="I17" s="805"/>
    </row>
    <row r="18" spans="1:19" ht="24.75" customHeight="1">
      <c r="A18" s="786" t="s">
        <v>54</v>
      </c>
      <c r="B18" s="786"/>
      <c r="C18" s="790" t="str">
        <f>'3-Quotation'!C9:F9</f>
        <v>QMS 2015</v>
      </c>
      <c r="D18" s="791"/>
      <c r="E18" s="791"/>
      <c r="F18" s="791"/>
      <c r="G18" s="792"/>
      <c r="H18" s="152" t="s">
        <v>56</v>
      </c>
      <c r="I18" s="161" t="str">
        <f>'1-Questionnaire'!I18</f>
        <v>Seperatly</v>
      </c>
      <c r="J18" s="487" t="s">
        <v>363</v>
      </c>
      <c r="K18" s="834"/>
      <c r="L18" s="834"/>
      <c r="M18" s="834"/>
      <c r="N18" s="834"/>
      <c r="O18" s="834"/>
      <c r="P18" s="834"/>
      <c r="Q18" s="834"/>
      <c r="R18" s="834"/>
      <c r="S18" s="834"/>
    </row>
    <row r="19" spans="1:19" ht="24.75" customHeight="1">
      <c r="A19" s="793" t="s">
        <v>59</v>
      </c>
      <c r="B19" s="794"/>
      <c r="C19" s="181" t="s">
        <v>364</v>
      </c>
      <c r="D19" s="801" t="str">
        <f>'1-Questionnaire'!D19</f>
        <v>If "Others", Please provide more details</v>
      </c>
      <c r="E19" s="801"/>
      <c r="F19" s="801"/>
      <c r="G19" s="802"/>
      <c r="H19" s="154" t="s">
        <v>65</v>
      </c>
      <c r="I19" s="161" t="str">
        <f>'1-Questionnaire'!I21</f>
        <v>EGAC</v>
      </c>
      <c r="J19" s="745"/>
      <c r="K19" s="745"/>
      <c r="L19" s="745"/>
      <c r="M19" s="745"/>
      <c r="N19" s="745"/>
      <c r="O19" s="745"/>
      <c r="P19" s="745"/>
      <c r="Q19" s="745"/>
      <c r="R19" s="745"/>
      <c r="S19" s="745"/>
    </row>
    <row r="20" spans="1:19" ht="24.75" customHeight="1">
      <c r="A20" s="786" t="s">
        <v>64</v>
      </c>
      <c r="B20" s="786"/>
      <c r="C20" s="790">
        <f>'3-Quotation'!C10:F10</f>
        <v>0</v>
      </c>
      <c r="D20" s="791"/>
      <c r="E20" s="791"/>
      <c r="F20" s="791"/>
      <c r="G20" s="792"/>
      <c r="H20" s="154" t="s">
        <v>365</v>
      </c>
      <c r="I20" s="161" t="str">
        <f>_xlfn.IFS('2-Calc. Sheet'!A24=1,'2-Calc. Sheet'!A20,'2-Calc. Sheet'!A24=2,_xlfn.CONCAT('2-Calc. Sheet'!A20,",",'2-Calc. Sheet'!A21),'2-Calc. Sheet'!A24=3,_xlfn.CONCAT('2-Calc. Sheet'!A20,",",'2-Calc. Sheet'!A21,",",'2-Calc. Sheet'!A22),'2-Calc. Sheet'!A23=4,'2-Calc. Sheet'!A20,",",'2-Calc. Sheet'!A21,",",'2-Calc. Sheet'!A22,",",'2-Calc. Sheet'!A23)</f>
        <v>CII</v>
      </c>
      <c r="J20" s="745"/>
      <c r="K20" s="745"/>
      <c r="L20" s="745"/>
      <c r="M20" s="745"/>
      <c r="N20" s="745"/>
      <c r="O20" s="745"/>
      <c r="P20" s="745"/>
      <c r="Q20" s="745"/>
      <c r="R20" s="745"/>
      <c r="S20" s="745"/>
    </row>
    <row r="21" spans="1:19" ht="24.75" customHeight="1">
      <c r="A21" s="786" t="s">
        <v>74</v>
      </c>
      <c r="B21" s="786"/>
      <c r="C21" s="808" t="str">
        <f>'1-Questionnaire'!C25:I25</f>
        <v>7.1.5 the company doesn't have any monitoring devices because they contracting with inspection company, 8.5.1(F) validation because they verified each process and they don't need any validation for their product, 8.5.3 Property belongs to customer and external providers because they don't receive any property from their customers or their external providers, 8.5.4 preservation because the company don't have any warehouse to preserve the product  , 8.5.5-Postdelivery due to the consumption nature of product  ,8.3- design due to the nature of product and the product doesn't need any design</v>
      </c>
      <c r="D21" s="809"/>
      <c r="E21" s="809"/>
      <c r="F21" s="809"/>
      <c r="G21" s="810"/>
      <c r="H21" s="152" t="s">
        <v>62</v>
      </c>
      <c r="I21" s="162" t="str">
        <f>'1-Questionnaire'!I19</f>
        <v>Native</v>
      </c>
      <c r="J21" s="745"/>
      <c r="K21" s="745"/>
      <c r="L21" s="745"/>
      <c r="M21" s="745"/>
      <c r="N21" s="745"/>
      <c r="O21" s="745"/>
      <c r="P21" s="745"/>
      <c r="Q21" s="745"/>
      <c r="R21" s="745"/>
      <c r="S21" s="745"/>
    </row>
    <row r="22" spans="1:19" ht="14.25" customHeight="1">
      <c r="J22" s="745"/>
      <c r="K22" s="745"/>
      <c r="L22" s="745"/>
      <c r="M22" s="745"/>
      <c r="N22" s="745"/>
      <c r="O22" s="745"/>
      <c r="P22" s="745"/>
      <c r="Q22" s="745"/>
      <c r="R22" s="745"/>
      <c r="S22" s="745"/>
    </row>
    <row r="23" spans="1:19" ht="15" customHeight="1">
      <c r="A23" s="811" t="s">
        <v>366</v>
      </c>
      <c r="B23" s="812"/>
      <c r="C23" s="812"/>
      <c r="D23" s="812"/>
      <c r="E23" s="812"/>
      <c r="F23" s="812"/>
      <c r="G23" s="812"/>
      <c r="H23" s="812"/>
      <c r="I23" s="812"/>
      <c r="J23" s="829" t="s">
        <v>367</v>
      </c>
      <c r="K23" s="830"/>
      <c r="L23" s="830"/>
      <c r="M23" s="830"/>
      <c r="N23" s="830"/>
      <c r="O23" s="830"/>
      <c r="P23" s="830"/>
      <c r="Q23" s="830"/>
      <c r="R23" s="830"/>
      <c r="S23" s="830"/>
    </row>
    <row r="24" spans="1:19" ht="14.65" customHeight="1">
      <c r="E24" s="771" t="s">
        <v>264</v>
      </c>
      <c r="F24" s="772"/>
      <c r="G24" s="772"/>
      <c r="H24" s="249">
        <f>'4-Contract'!G101</f>
        <v>0</v>
      </c>
      <c r="I24" s="247">
        <f>'4-Contract'!H101</f>
        <v>0</v>
      </c>
      <c r="J24" s="830"/>
      <c r="K24" s="830"/>
      <c r="L24" s="830"/>
      <c r="M24" s="830"/>
      <c r="N24" s="830"/>
      <c r="O24" s="830"/>
      <c r="P24" s="830"/>
      <c r="Q24" s="830"/>
      <c r="R24" s="830"/>
      <c r="S24" s="830"/>
    </row>
    <row r="25" spans="1:19" ht="14.65" customHeight="1">
      <c r="A25" s="549" t="s">
        <v>59</v>
      </c>
      <c r="B25" s="549"/>
      <c r="C25" s="612" t="str">
        <f>'4-Contract'!C100</f>
        <v>Initial</v>
      </c>
      <c r="D25" s="685"/>
      <c r="E25" s="771" t="s">
        <v>263</v>
      </c>
      <c r="F25" s="772"/>
      <c r="G25" s="772"/>
      <c r="H25" s="168">
        <f>'4-Contract'!C101</f>
        <v>0</v>
      </c>
      <c r="I25" s="168">
        <f>'4-Contract'!D101</f>
        <v>0</v>
      </c>
      <c r="J25" s="831">
        <f>C13</f>
        <v>0</v>
      </c>
      <c r="K25" s="828"/>
      <c r="L25" s="828"/>
      <c r="M25" s="828"/>
    </row>
    <row r="26" spans="1:19" ht="14.25" customHeight="1">
      <c r="A26" s="436" t="s">
        <v>265</v>
      </c>
      <c r="B26" s="436"/>
      <c r="C26" s="612">
        <f>'4-Contract'!C102</f>
        <v>0</v>
      </c>
      <c r="D26" s="613"/>
      <c r="E26" s="815" t="s">
        <v>266</v>
      </c>
      <c r="F26" s="816"/>
      <c r="G26" s="816"/>
      <c r="H26" s="168">
        <f>'4-Contract'!C103</f>
        <v>0</v>
      </c>
      <c r="I26" s="168"/>
      <c r="J26" s="832">
        <f>C16</f>
        <v>0</v>
      </c>
      <c r="K26" s="828"/>
      <c r="L26" s="828"/>
      <c r="M26" s="828"/>
    </row>
    <row r="27" spans="1:19" ht="14.25" customHeight="1">
      <c r="A27" s="549" t="s">
        <v>129</v>
      </c>
      <c r="B27" s="549"/>
      <c r="C27" s="612">
        <f>'4-Contract'!C104</f>
        <v>0</v>
      </c>
      <c r="D27" s="613"/>
      <c r="E27" s="813" t="s">
        <v>368</v>
      </c>
      <c r="F27" s="814"/>
      <c r="G27" s="814"/>
      <c r="H27" s="277" t="str">
        <f>'2-Calc. Sheet'!T25</f>
        <v>Low</v>
      </c>
      <c r="I27" s="188">
        <f>'2-Calc. Sheet'!U25</f>
        <v>0</v>
      </c>
      <c r="J27" s="833">
        <f>B7</f>
        <v>0</v>
      </c>
      <c r="K27" s="828"/>
      <c r="L27" s="828"/>
      <c r="M27" s="828"/>
    </row>
    <row r="28" spans="1:19" ht="14.25" customHeight="1">
      <c r="A28" s="549" t="s">
        <v>268</v>
      </c>
      <c r="B28" s="549"/>
      <c r="C28" s="612" t="str">
        <f>'4-Contract'!C106</f>
        <v>No</v>
      </c>
      <c r="D28" s="613"/>
      <c r="E28" s="771" t="s">
        <v>270</v>
      </c>
      <c r="F28" s="772"/>
      <c r="G28" s="772"/>
      <c r="H28" s="267">
        <f>'4-Contract'!C108</f>
        <v>0</v>
      </c>
      <c r="I28" s="269"/>
      <c r="J28" s="828" t="str">
        <f>I14</f>
        <v>Egypt</v>
      </c>
      <c r="K28" s="828"/>
      <c r="L28" s="828"/>
      <c r="M28" s="828"/>
    </row>
    <row r="29" spans="1:19" ht="14.25" customHeight="1">
      <c r="A29" s="549" t="s">
        <v>272</v>
      </c>
      <c r="B29" s="549"/>
      <c r="C29" s="612" t="str">
        <f>'4-Contract'!C109</f>
        <v>Seperatly</v>
      </c>
      <c r="D29" s="613"/>
      <c r="E29" s="815" t="s">
        <v>206</v>
      </c>
      <c r="F29" s="816"/>
      <c r="G29" s="816"/>
      <c r="H29" s="613">
        <f>'4-Contract'!C110</f>
        <v>0</v>
      </c>
      <c r="I29" s="685"/>
    </row>
    <row r="31" spans="1:19">
      <c r="A31" s="783" t="s">
        <v>369</v>
      </c>
      <c r="B31" s="784"/>
      <c r="C31" s="784"/>
      <c r="D31" s="784"/>
      <c r="E31" s="784"/>
      <c r="F31" s="784"/>
      <c r="G31" s="784"/>
      <c r="H31" s="784"/>
      <c r="I31" s="784"/>
    </row>
    <row r="32" spans="1:19" ht="14.25" customHeight="1">
      <c r="A32" s="825" t="s">
        <v>370</v>
      </c>
      <c r="B32" s="825"/>
      <c r="C32" s="825"/>
      <c r="D32" s="825"/>
      <c r="E32" s="825"/>
      <c r="F32" s="825"/>
      <c r="G32" s="825"/>
      <c r="H32" s="825"/>
      <c r="I32" s="825"/>
    </row>
    <row r="33" spans="1:19">
      <c r="A33" s="800"/>
      <c r="B33" s="800"/>
      <c r="C33" s="800"/>
      <c r="D33" s="800"/>
      <c r="E33" s="800"/>
      <c r="F33" s="800"/>
      <c r="G33" s="800"/>
      <c r="H33" s="800"/>
      <c r="I33" s="800"/>
    </row>
    <row r="34" spans="1:19">
      <c r="A34" s="800"/>
      <c r="B34" s="800"/>
      <c r="C34" s="800"/>
      <c r="D34" s="800"/>
      <c r="E34" s="800"/>
      <c r="F34" s="800"/>
      <c r="G34" s="800"/>
      <c r="H34" s="800"/>
      <c r="I34" s="800"/>
    </row>
    <row r="35" spans="1:19">
      <c r="A35" s="800"/>
      <c r="B35" s="800"/>
      <c r="C35" s="800"/>
      <c r="D35" s="800"/>
      <c r="E35" s="800"/>
      <c r="F35" s="800"/>
      <c r="G35" s="800"/>
      <c r="H35" s="800"/>
      <c r="I35" s="800"/>
    </row>
    <row r="36" spans="1:19">
      <c r="A36" s="800"/>
      <c r="B36" s="800"/>
      <c r="C36" s="800"/>
      <c r="D36" s="800"/>
      <c r="E36" s="800"/>
      <c r="F36" s="800"/>
      <c r="G36" s="800"/>
      <c r="H36" s="800"/>
      <c r="I36" s="800"/>
    </row>
    <row r="37" spans="1:19">
      <c r="A37" s="800"/>
      <c r="B37" s="800"/>
      <c r="C37" s="800"/>
      <c r="D37" s="800"/>
      <c r="E37" s="800"/>
      <c r="F37" s="800"/>
      <c r="G37" s="800"/>
      <c r="H37" s="800"/>
      <c r="I37" s="800"/>
    </row>
    <row r="38" spans="1:19">
      <c r="A38" s="800"/>
      <c r="B38" s="800"/>
      <c r="C38" s="800"/>
      <c r="D38" s="800"/>
      <c r="E38" s="800"/>
      <c r="F38" s="800"/>
      <c r="G38" s="800"/>
      <c r="H38" s="800"/>
      <c r="I38" s="800"/>
    </row>
    <row r="39" spans="1:19" ht="14.25" customHeight="1">
      <c r="A39" s="800"/>
      <c r="B39" s="800"/>
      <c r="C39" s="800"/>
      <c r="D39" s="800"/>
      <c r="E39" s="800"/>
      <c r="F39" s="800"/>
      <c r="G39" s="800"/>
      <c r="H39" s="800"/>
      <c r="I39" s="800"/>
      <c r="Q39" s="823"/>
      <c r="R39" s="823"/>
      <c r="S39" s="823"/>
    </row>
    <row r="40" spans="1:19" ht="14.25" customHeight="1">
      <c r="A40" s="826"/>
      <c r="B40" s="826"/>
      <c r="C40" s="826"/>
      <c r="D40" s="826"/>
      <c r="E40" s="826"/>
      <c r="F40" s="826"/>
      <c r="G40" s="826"/>
      <c r="H40" s="826"/>
      <c r="I40" s="826"/>
      <c r="Q40" s="824"/>
      <c r="R40" s="824"/>
      <c r="S40" s="824"/>
    </row>
    <row r="41" spans="1:19">
      <c r="A41" s="822" t="s">
        <v>214</v>
      </c>
      <c r="B41" s="822"/>
      <c r="C41" s="822"/>
      <c r="D41" s="822"/>
      <c r="E41" s="822"/>
      <c r="F41" s="822"/>
      <c r="G41" s="163">
        <f>B7</f>
        <v>0</v>
      </c>
      <c r="H41" s="276" t="str">
        <f>H7</f>
        <v>CSC-Q0-2022</v>
      </c>
      <c r="I41" s="276"/>
      <c r="J41" s="142" t="s">
        <v>214</v>
      </c>
      <c r="K41" s="142"/>
      <c r="L41" s="142"/>
      <c r="M41" s="142"/>
      <c r="N41" s="142"/>
      <c r="O41" s="142"/>
      <c r="P41" s="156"/>
      <c r="Q41" s="156">
        <f>G41</f>
        <v>0</v>
      </c>
      <c r="R41" s="827" t="str">
        <f>H41</f>
        <v>CSC-Q0-2022</v>
      </c>
      <c r="S41" s="827"/>
    </row>
  </sheetData>
  <sheetProtection algorithmName="SHA-512" hashValue="lsf6Lx4DRxsXvWJTxbStAaGsk6KdqpkgHfGY/yj02grF3SicKuPYFmAWdcUQwklolBC6RcU4kn6HKybHT7o15Q==" saltValue="S2RE4ZJ83MzHd9kEGozIhQ==" spinCount="100000" sheet="1" formatCells="0" formatColumns="0" formatRows="0" selectLockedCells="1"/>
  <dataConsolidate function="varp">
    <dataRefs count="1">
      <dataRef ref="C1:C1048576" sheet="Classification" r:id="rId1"/>
    </dataRefs>
  </dataConsolidate>
  <mergeCells count="89">
    <mergeCell ref="J18:S18"/>
    <mergeCell ref="J19:S22"/>
    <mergeCell ref="L16:M16"/>
    <mergeCell ref="N16:O16"/>
    <mergeCell ref="A5:G5"/>
    <mergeCell ref="A16:B16"/>
    <mergeCell ref="L15:N15"/>
    <mergeCell ref="L14:M14"/>
    <mergeCell ref="P11:Q12"/>
    <mergeCell ref="R11:S12"/>
    <mergeCell ref="L13:M13"/>
    <mergeCell ref="N13:O13"/>
    <mergeCell ref="P13:Q13"/>
    <mergeCell ref="R13:S13"/>
    <mergeCell ref="N11:O12"/>
    <mergeCell ref="O15:P15"/>
    <mergeCell ref="J28:M28"/>
    <mergeCell ref="J23:S24"/>
    <mergeCell ref="J25:M25"/>
    <mergeCell ref="J26:M26"/>
    <mergeCell ref="J27:M27"/>
    <mergeCell ref="A41:F41"/>
    <mergeCell ref="Q39:S40"/>
    <mergeCell ref="E29:G29"/>
    <mergeCell ref="H29:I29"/>
    <mergeCell ref="A32:I40"/>
    <mergeCell ref="R41:S41"/>
    <mergeCell ref="A31:I31"/>
    <mergeCell ref="C29:D29"/>
    <mergeCell ref="Q15:S15"/>
    <mergeCell ref="N14:Q14"/>
    <mergeCell ref="R14:S14"/>
    <mergeCell ref="P16:Q16"/>
    <mergeCell ref="R16:S16"/>
    <mergeCell ref="J13:K13"/>
    <mergeCell ref="J14:K14"/>
    <mergeCell ref="J15:K15"/>
    <mergeCell ref="J16:K16"/>
    <mergeCell ref="C16:G16"/>
    <mergeCell ref="A28:B28"/>
    <mergeCell ref="A29:B29"/>
    <mergeCell ref="E28:G28"/>
    <mergeCell ref="C21:G21"/>
    <mergeCell ref="A23:I23"/>
    <mergeCell ref="A21:B21"/>
    <mergeCell ref="A27:B27"/>
    <mergeCell ref="A26:B26"/>
    <mergeCell ref="C26:D26"/>
    <mergeCell ref="A25:B25"/>
    <mergeCell ref="C25:D25"/>
    <mergeCell ref="E27:G27"/>
    <mergeCell ref="E26:G26"/>
    <mergeCell ref="E25:G25"/>
    <mergeCell ref="C27:D27"/>
    <mergeCell ref="C28:D28"/>
    <mergeCell ref="A20:B20"/>
    <mergeCell ref="C20:G20"/>
    <mergeCell ref="D19:G19"/>
    <mergeCell ref="C18:G18"/>
    <mergeCell ref="G17:I17"/>
    <mergeCell ref="A18:B18"/>
    <mergeCell ref="C17:D17"/>
    <mergeCell ref="E17:F17"/>
    <mergeCell ref="E1:H2"/>
    <mergeCell ref="O1:R2"/>
    <mergeCell ref="F7:G7"/>
    <mergeCell ref="F8:G8"/>
    <mergeCell ref="A1:D3"/>
    <mergeCell ref="J1:M3"/>
    <mergeCell ref="G3:I3"/>
    <mergeCell ref="Q3:S3"/>
    <mergeCell ref="J4:S8"/>
    <mergeCell ref="A4:I4"/>
    <mergeCell ref="E24:G24"/>
    <mergeCell ref="A9:I9"/>
    <mergeCell ref="H7:I7"/>
    <mergeCell ref="H8:I8"/>
    <mergeCell ref="J9:S9"/>
    <mergeCell ref="L11:M12"/>
    <mergeCell ref="J11:K12"/>
    <mergeCell ref="A11:I11"/>
    <mergeCell ref="A13:B13"/>
    <mergeCell ref="A15:B15"/>
    <mergeCell ref="C15:H15"/>
    <mergeCell ref="C13:G13"/>
    <mergeCell ref="C14:G14"/>
    <mergeCell ref="A14:B14"/>
    <mergeCell ref="A19:B19"/>
    <mergeCell ref="A17:B17"/>
  </mergeCells>
  <conditionalFormatting sqref="B7">
    <cfRule type="containsBlanks" dxfId="41" priority="19">
      <formula>LEN(TRIM(B7))=0</formula>
    </cfRule>
  </conditionalFormatting>
  <conditionalFormatting sqref="C19">
    <cfRule type="containsBlanks" dxfId="40" priority="3">
      <formula>LEN(TRIM(C19))=0</formula>
    </cfRule>
  </conditionalFormatting>
  <conditionalFormatting sqref="I19:I20">
    <cfRule type="containsText" dxfId="39" priority="4" operator="containsText" text="Non-Accredit">
      <formula>NOT(ISERROR(SEARCH("Non-Accredit",I19)))</formula>
    </cfRule>
  </conditionalFormatting>
  <conditionalFormatting sqref="L14">
    <cfRule type="containsText" dxfId="38" priority="13" operator="containsText" text="Ask For Advise">
      <formula>NOT(ISERROR(SEARCH("Ask For Advise",L14)))</formula>
    </cfRule>
  </conditionalFormatting>
  <conditionalFormatting sqref="L15">
    <cfRule type="containsBlanks" dxfId="37" priority="12">
      <formula>LEN(TRIM(L15))=0</formula>
    </cfRule>
  </conditionalFormatting>
  <conditionalFormatting sqref="L16:S16">
    <cfRule type="containsBlanks" dxfId="36" priority="11">
      <formula>LEN(TRIM(L16))=0</formula>
    </cfRule>
  </conditionalFormatting>
  <conditionalFormatting sqref="Q15:S15">
    <cfRule type="containsBlanks" dxfId="35" priority="10">
      <formula>LEN(TRIM(Q15))=0</formula>
    </cfRule>
  </conditionalFormatting>
  <conditionalFormatting sqref="R14">
    <cfRule type="containsBlanks" dxfId="34" priority="1">
      <formula>LEN(TRIM(R14))=0</formula>
    </cfRule>
  </conditionalFormatting>
  <dataValidations count="6">
    <dataValidation allowBlank="1" showInputMessage="1" showErrorMessage="1" promptTitle="C.C.N." prompt="Client Code Number" sqref="I13" xr:uid="{00000000-0002-0000-0700-000000000000}"/>
    <dataValidation allowBlank="1" showInputMessage="1" showErrorMessage="1" prompt="If you've more than one manufacturing site, please complete the details in the multi-site worksheet" sqref="I15 C15" xr:uid="{00000000-0002-0000-0700-000001000000}"/>
    <dataValidation allowBlank="1" showInputMessage="1" showErrorMessage="1" promptTitle="A.B." prompt="Accreditation Body" sqref="I19:I20" xr:uid="{00000000-0002-0000-0700-000002000000}"/>
    <dataValidation type="list" allowBlank="1" showInputMessage="1" showErrorMessage="1" sqref="Q39:S40" xr:uid="{00000000-0002-0000-0700-000003000000}">
      <formula1>"Create ATJIF-02"</formula1>
    </dataValidation>
    <dataValidation type="list" showInputMessage="1" sqref="R14:S14" xr:uid="{00000000-0002-0000-0700-000004000000}">
      <formula1>$L$14</formula1>
    </dataValidation>
    <dataValidation showInputMessage="1" promptTitle="Tip!" prompt="In case of any change/modification, plz typing the proposed data here." sqref="H27:I27" xr:uid="{00000000-0002-0000-0700-000005000000}"/>
  </dataValidations>
  <hyperlinks>
    <hyperlink ref="I15" location="'Multi-Site'!A1" display="+" xr:uid="{00000000-0004-0000-0700-000000000000}"/>
  </hyperlinks>
  <pageMargins left="0.7" right="0.7" top="0.75" bottom="0.75" header="0.3" footer="0.3"/>
  <pageSetup orientation="portrait" horizontalDpi="300" verticalDpi="3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6000000}">
          <x14:formula1>
            <xm:f>Sheet2!$V$25:$V$28</xm:f>
          </x14:formula1>
          <xm:sqref>C19</xm:sqref>
        </x14:dataValidation>
        <x14:dataValidation type="list" errorStyle="information" allowBlank="1" showInputMessage="1" showErrorMessage="1" errorTitle="Wrong Name!" error="Please use the Drop-Down List" xr:uid="{00000000-0002-0000-0700-000007000000}">
          <x14:formula1>
            <xm:f>Auditors!$B$2:$B$16</xm:f>
          </x14:formula1>
          <xm:sqref>L13:M13</xm:sqref>
        </x14:dataValidation>
        <x14:dataValidation type="list" errorStyle="information" allowBlank="1" showInputMessage="1" showErrorMessage="1" errorTitle="Wrong name!" error="please use the Drop-Down List" xr:uid="{00000000-0002-0000-0700-000008000000}">
          <x14:formula1>
            <xm:f>Auditors!$B$2:$B$17</xm:f>
          </x14:formula1>
          <xm:sqref>N13:S13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S41"/>
  <sheetViews>
    <sheetView showGridLines="0" zoomScaleNormal="100" workbookViewId="0">
      <selection activeCell="C14" sqref="C14:G14"/>
    </sheetView>
  </sheetViews>
  <sheetFormatPr defaultColWidth="9" defaultRowHeight="15"/>
  <cols>
    <col min="1" max="1" width="9" style="141"/>
    <col min="2" max="2" width="12.42578125" style="141" customWidth="1"/>
    <col min="3" max="3" width="9" style="141"/>
    <col min="4" max="4" width="10.42578125" style="141" customWidth="1"/>
    <col min="5" max="5" width="8.140625" style="141" customWidth="1"/>
    <col min="6" max="6" width="10" style="141" customWidth="1"/>
    <col min="7" max="7" width="7.42578125" style="141" customWidth="1"/>
    <col min="8" max="8" width="10.5703125" style="141" customWidth="1"/>
    <col min="9" max="14" width="9" style="141"/>
    <col min="15" max="15" width="9" style="141" customWidth="1"/>
    <col min="16" max="16" width="9" style="141"/>
    <col min="17" max="17" width="9.42578125" style="141" customWidth="1"/>
    <col min="18" max="18" width="9" style="141"/>
    <col min="19" max="19" width="8.42578125" style="141" customWidth="1"/>
    <col min="20" max="16384" width="9" style="141"/>
  </cols>
  <sheetData>
    <row r="1" spans="1:19" ht="14.25" customHeight="1">
      <c r="A1" s="799" t="s">
        <v>1</v>
      </c>
      <c r="B1" s="799"/>
      <c r="C1" s="799"/>
      <c r="D1" s="799"/>
      <c r="E1" s="797" t="s">
        <v>348</v>
      </c>
      <c r="F1" s="797"/>
      <c r="G1" s="797"/>
      <c r="H1" s="797"/>
      <c r="I1" s="140" t="s">
        <v>349</v>
      </c>
      <c r="J1" s="799" t="s">
        <v>3</v>
      </c>
      <c r="K1" s="799"/>
      <c r="L1" s="799"/>
      <c r="M1" s="799"/>
      <c r="O1" s="797" t="s">
        <v>348</v>
      </c>
      <c r="P1" s="797"/>
      <c r="Q1" s="797"/>
      <c r="R1" s="797"/>
      <c r="S1" s="140" t="s">
        <v>349</v>
      </c>
    </row>
    <row r="2" spans="1:19" ht="14.25" customHeight="1">
      <c r="A2" s="799"/>
      <c r="B2" s="799"/>
      <c r="C2" s="799"/>
      <c r="D2" s="799"/>
      <c r="E2" s="797"/>
      <c r="F2" s="797"/>
      <c r="G2" s="797"/>
      <c r="H2" s="797"/>
      <c r="I2" s="140" t="s">
        <v>350</v>
      </c>
      <c r="J2" s="799"/>
      <c r="K2" s="799"/>
      <c r="L2" s="799"/>
      <c r="M2" s="799"/>
      <c r="O2" s="797"/>
      <c r="P2" s="797"/>
      <c r="Q2" s="797"/>
      <c r="R2" s="797"/>
      <c r="S2" s="140" t="s">
        <v>351</v>
      </c>
    </row>
    <row r="3" spans="1:19" ht="14.25" customHeight="1">
      <c r="A3" s="799"/>
      <c r="B3" s="799"/>
      <c r="C3" s="799"/>
      <c r="D3" s="799"/>
      <c r="E3" s="140"/>
      <c r="F3" s="140"/>
      <c r="G3" s="547" t="s">
        <v>1091</v>
      </c>
      <c r="H3" s="547"/>
      <c r="I3" s="547"/>
      <c r="J3" s="799"/>
      <c r="K3" s="799"/>
      <c r="L3" s="799"/>
      <c r="M3" s="799"/>
      <c r="O3" s="140"/>
      <c r="P3" s="140"/>
      <c r="Q3" s="547" t="s">
        <v>1091</v>
      </c>
      <c r="R3" s="547"/>
      <c r="S3" s="547"/>
    </row>
    <row r="4" spans="1:19" ht="14.25" customHeight="1">
      <c r="A4" s="783" t="s">
        <v>218</v>
      </c>
      <c r="B4" s="784"/>
      <c r="C4" s="784"/>
      <c r="D4" s="784"/>
      <c r="E4" s="784"/>
      <c r="F4" s="784"/>
      <c r="G4" s="784"/>
      <c r="H4" s="784"/>
      <c r="I4" s="784"/>
      <c r="J4" s="800" t="s">
        <v>352</v>
      </c>
      <c r="K4" s="800"/>
      <c r="L4" s="800"/>
      <c r="M4" s="800"/>
      <c r="N4" s="800"/>
      <c r="O4" s="800"/>
      <c r="P4" s="800"/>
      <c r="Q4" s="800"/>
      <c r="R4" s="800"/>
      <c r="S4" s="800"/>
    </row>
    <row r="5" spans="1:19">
      <c r="A5" s="835"/>
      <c r="B5" s="835"/>
      <c r="C5" s="835"/>
      <c r="D5" s="835"/>
      <c r="E5" s="835"/>
      <c r="F5" s="835"/>
      <c r="G5" s="835"/>
      <c r="H5" s="142"/>
      <c r="I5" s="142"/>
      <c r="J5" s="800"/>
      <c r="K5" s="800"/>
      <c r="L5" s="800"/>
      <c r="M5" s="800"/>
      <c r="N5" s="800"/>
      <c r="O5" s="800"/>
      <c r="P5" s="800"/>
      <c r="Q5" s="800"/>
      <c r="R5" s="800"/>
      <c r="S5" s="800"/>
    </row>
    <row r="6" spans="1:19">
      <c r="J6" s="800"/>
      <c r="K6" s="800"/>
      <c r="L6" s="800"/>
      <c r="M6" s="800"/>
      <c r="N6" s="800"/>
      <c r="O6" s="800"/>
      <c r="P6" s="800"/>
      <c r="Q6" s="800"/>
      <c r="R6" s="800"/>
      <c r="S6" s="800"/>
    </row>
    <row r="7" spans="1:19">
      <c r="A7" s="143" t="s">
        <v>70</v>
      </c>
      <c r="B7" s="166"/>
      <c r="C7" s="144"/>
      <c r="D7" s="144"/>
      <c r="F7" s="798" t="s">
        <v>222</v>
      </c>
      <c r="G7" s="798"/>
      <c r="H7" s="774" t="str">
        <f>'4-Contract'!H7:I7</f>
        <v>CSC-Q0-2022</v>
      </c>
      <c r="I7" s="774"/>
      <c r="J7" s="800"/>
      <c r="K7" s="800"/>
      <c r="L7" s="800"/>
      <c r="M7" s="800"/>
      <c r="N7" s="800"/>
      <c r="O7" s="800"/>
      <c r="P7" s="800"/>
      <c r="Q7" s="800"/>
      <c r="R7" s="800"/>
      <c r="S7" s="800"/>
    </row>
    <row r="8" spans="1:19">
      <c r="A8" s="278"/>
      <c r="B8" s="278"/>
      <c r="C8" s="280"/>
      <c r="D8" s="280"/>
      <c r="F8" s="798" t="s">
        <v>223</v>
      </c>
      <c r="G8" s="798"/>
      <c r="H8" s="775">
        <f>'4-Contract'!H8:I8</f>
        <v>0</v>
      </c>
      <c r="I8" s="775"/>
      <c r="J8" s="800"/>
      <c r="K8" s="800"/>
      <c r="L8" s="800"/>
      <c r="M8" s="800"/>
      <c r="N8" s="800"/>
      <c r="O8" s="800"/>
      <c r="P8" s="800"/>
      <c r="Q8" s="800"/>
      <c r="R8" s="800"/>
      <c r="S8" s="800"/>
    </row>
    <row r="9" spans="1:19">
      <c r="A9" s="773" t="s">
        <v>354</v>
      </c>
      <c r="B9" s="773"/>
      <c r="C9" s="773"/>
      <c r="D9" s="773"/>
      <c r="E9" s="773"/>
      <c r="F9" s="773"/>
      <c r="G9" s="773"/>
      <c r="H9" s="773"/>
      <c r="I9" s="773"/>
      <c r="J9" s="776" t="s">
        <v>355</v>
      </c>
      <c r="K9" s="777"/>
      <c r="L9" s="777"/>
      <c r="M9" s="777"/>
      <c r="N9" s="777"/>
      <c r="O9" s="777"/>
      <c r="P9" s="777"/>
      <c r="Q9" s="777"/>
      <c r="R9" s="777"/>
      <c r="S9" s="777"/>
    </row>
    <row r="10" spans="1:19">
      <c r="A10" s="145"/>
      <c r="B10" s="145"/>
      <c r="C10" s="145"/>
      <c r="D10" s="145"/>
      <c r="E10" s="145"/>
      <c r="F10" s="145"/>
      <c r="G10" s="145"/>
      <c r="H10" s="145"/>
      <c r="I10" s="145"/>
      <c r="J10" s="146"/>
      <c r="K10" s="146"/>
      <c r="L10" s="146"/>
      <c r="M10" s="146"/>
      <c r="N10" s="146"/>
      <c r="O10" s="146"/>
      <c r="P10" s="146"/>
      <c r="Q10" s="146"/>
      <c r="R10" s="146"/>
      <c r="S10" s="146"/>
    </row>
    <row r="11" spans="1:19" ht="14.25" customHeight="1">
      <c r="A11" s="783" t="s">
        <v>356</v>
      </c>
      <c r="B11" s="784"/>
      <c r="C11" s="784"/>
      <c r="D11" s="784"/>
      <c r="E11" s="784"/>
      <c r="F11" s="784"/>
      <c r="G11" s="784"/>
      <c r="H11" s="784"/>
      <c r="I11" s="784"/>
      <c r="J11" s="779"/>
      <c r="K11" s="780"/>
      <c r="L11" s="778" t="str">
        <f>'2-Calc. Sheet'!D28</f>
        <v>Lead Auditor</v>
      </c>
      <c r="M11" s="778"/>
      <c r="N11" s="778">
        <f>'2-Calc. Sheet'!D29</f>
        <v>0</v>
      </c>
      <c r="O11" s="778"/>
      <c r="P11" s="778">
        <f>'2-Calc. Sheet'!D30</f>
        <v>0</v>
      </c>
      <c r="Q11" s="778"/>
      <c r="R11" s="778">
        <f>'2-Calc. Sheet'!D31</f>
        <v>0</v>
      </c>
      <c r="S11" s="778"/>
    </row>
    <row r="12" spans="1:19">
      <c r="J12" s="781"/>
      <c r="K12" s="782"/>
      <c r="L12" s="778"/>
      <c r="M12" s="778"/>
      <c r="N12" s="778"/>
      <c r="O12" s="778"/>
      <c r="P12" s="778"/>
      <c r="Q12" s="778"/>
      <c r="R12" s="778"/>
      <c r="S12" s="778"/>
    </row>
    <row r="13" spans="1:19" ht="24.75" customHeight="1" thickBot="1">
      <c r="A13" s="785" t="s">
        <v>112</v>
      </c>
      <c r="B13" s="785"/>
      <c r="C13" s="851"/>
      <c r="D13" s="801"/>
      <c r="E13" s="801"/>
      <c r="F13" s="801"/>
      <c r="G13" s="802"/>
      <c r="H13" s="147" t="s">
        <v>9</v>
      </c>
      <c r="I13" s="148" t="str">
        <f>'1-Questionnaire'!I5</f>
        <v>Q0</v>
      </c>
      <c r="J13" s="786" t="s">
        <v>357</v>
      </c>
      <c r="K13" s="786"/>
      <c r="L13" s="844"/>
      <c r="M13" s="845"/>
      <c r="N13" s="844" t="e">
        <f>'2-Calc. Sheet'!B29</f>
        <v>#N/A</v>
      </c>
      <c r="O13" s="845"/>
      <c r="P13" s="844" t="e">
        <f>'2-Calc. Sheet'!B30</f>
        <v>#N/A</v>
      </c>
      <c r="Q13" s="845"/>
      <c r="R13" s="844" t="e">
        <f>'2-Calc. Sheet'!B31</f>
        <v>#N/A</v>
      </c>
      <c r="S13" s="845"/>
    </row>
    <row r="14" spans="1:19" ht="23.65" customHeight="1" thickTop="1">
      <c r="A14" s="785" t="s">
        <v>12</v>
      </c>
      <c r="B14" s="785"/>
      <c r="C14" s="846"/>
      <c r="D14" s="847"/>
      <c r="E14" s="847"/>
      <c r="F14" s="847"/>
      <c r="G14" s="848"/>
      <c r="H14" s="147" t="s">
        <v>13</v>
      </c>
      <c r="I14" s="149" t="s">
        <v>14</v>
      </c>
      <c r="J14" s="849" t="s">
        <v>371</v>
      </c>
      <c r="K14" s="850"/>
      <c r="L14" s="852" t="e">
        <f>IF(ISNA(L13),"N/A",IF(C19="Stage I",'2-Calc. Sheet'!N33,IF(C19="Stage II",'2-Calc. Sheet'!O33,IF(C19="Surveillance I",'2-Calc. Sheet'!P33,IF(C19="Surveillance II",'2-Calc. Sheet'!Q33,IF(C19="Recertification ",'2-Calc. Sheet'!R33,IF(C19="Pre-assessment",1,IF(ISBLANK(C19)," ",F19))))))))</f>
        <v>#N/A</v>
      </c>
      <c r="M14" s="853"/>
      <c r="N14" s="856" t="e">
        <f>IF(L14=" "," ",IF(ISNUMBER(L14),"Adjusted based on IAF MD 5:2015 and/or IAF MD 22:2018",IF(ISTEXT(L14),"Specify here", " ")))</f>
        <v>#N/A</v>
      </c>
      <c r="O14" s="856"/>
      <c r="P14" s="856"/>
      <c r="Q14" s="856"/>
      <c r="R14" s="854"/>
      <c r="S14" s="855"/>
    </row>
    <row r="15" spans="1:19" ht="23.65" customHeight="1" thickBot="1">
      <c r="A15" s="786" t="s">
        <v>359</v>
      </c>
      <c r="B15" s="786"/>
      <c r="C15" s="851"/>
      <c r="D15" s="801"/>
      <c r="E15" s="801"/>
      <c r="F15" s="801"/>
      <c r="G15" s="801"/>
      <c r="H15" s="802"/>
      <c r="I15" s="150" t="s">
        <v>119</v>
      </c>
      <c r="J15" s="849" t="s">
        <v>372</v>
      </c>
      <c r="K15" s="850"/>
      <c r="L15" s="891" t="e">
        <f>IF(ISNA(L13),"N/A",IF(AND(C19="Stage II",E19=""),'2-Calc. Sheet'!O33,IF(AND(C19="Surveillance I",E19=""),'2-Calc. Sheet'!S35,IF(AND(C19="Surveillance II",E19=""),'2-Calc. Sheet'!S35,IF(AND(C19="Recertification ",E19=""),'2-Calc. Sheet'!R33,IF(AND(C19="Special Visit",E19="Scope Ext."),'2-Calc. Sheet'!S36,IF(AND(OR(C19="Surveillance I",C19="Surveillance II"),E19="Scope Ext."),SUM('2-Calc. Sheet'!S36+'2-Calc. Sheet'!S35),IF(AND(C19="Stage II",E19="Follow-Up "),SUM('2-Calc. Sheet'!O33,F19,G19),IF(AND(C19="Surveillance I",E19="Follow-Up "),SUM('2-Calc. Sheet'!S35,F19:G19),IF(AND(C19="Surveillance II",E19="Follow-Up "),SUM('2-Calc. Sheet'!S35,F19:G19),IF(AND(C19="Recertification ",E19="Follow-Up "),SUM('2-Calc. Sheet'!R33,F19:G19),IF(AND(C19="Special Visit",E19="Follow-Up "),SUM(F19:G19),L14))))))))))))</f>
        <v>#N/A</v>
      </c>
      <c r="M15" s="892"/>
      <c r="N15" s="893" t="e">
        <f>IF(L15=" "," ",IF(ISNUMBER(L15),"Adjusted based on IAF MD 5:2015 and/or IAF MD 22:2018",IF(ISTEXT(L15),"Specify here", " ")))</f>
        <v>#N/A</v>
      </c>
      <c r="O15" s="893"/>
      <c r="P15" s="893"/>
      <c r="Q15" s="893"/>
      <c r="R15" s="884"/>
      <c r="S15" s="885"/>
    </row>
    <row r="16" spans="1:19" ht="24.4" customHeight="1" thickTop="1">
      <c r="A16" s="795" t="s">
        <v>17</v>
      </c>
      <c r="B16" s="796"/>
      <c r="C16" s="851"/>
      <c r="D16" s="801"/>
      <c r="E16" s="801"/>
      <c r="F16" s="801"/>
      <c r="G16" s="802"/>
      <c r="H16" s="151" t="s">
        <v>18</v>
      </c>
      <c r="I16" s="193" t="s">
        <v>19</v>
      </c>
      <c r="J16" s="785" t="s">
        <v>360</v>
      </c>
      <c r="K16" s="785"/>
      <c r="L16" s="886"/>
      <c r="M16" s="887"/>
      <c r="N16" s="888"/>
      <c r="O16" s="889" t="s">
        <v>361</v>
      </c>
      <c r="P16" s="889"/>
      <c r="Q16" s="890"/>
      <c r="R16" s="890"/>
      <c r="S16" s="890"/>
    </row>
    <row r="17" spans="1:19" ht="14.65" customHeight="1">
      <c r="A17" s="795" t="s">
        <v>22</v>
      </c>
      <c r="B17" s="796"/>
      <c r="C17" s="806"/>
      <c r="D17" s="807"/>
      <c r="E17" s="851" t="s">
        <v>24</v>
      </c>
      <c r="F17" s="802"/>
      <c r="G17" s="859"/>
      <c r="H17" s="860"/>
      <c r="I17" s="861"/>
      <c r="J17" s="785" t="s">
        <v>362</v>
      </c>
      <c r="K17" s="785"/>
      <c r="L17" s="821"/>
      <c r="M17" s="821"/>
      <c r="N17" s="821"/>
      <c r="O17" s="821"/>
      <c r="P17" s="821"/>
      <c r="Q17" s="821"/>
      <c r="R17" s="821"/>
      <c r="S17" s="821"/>
    </row>
    <row r="18" spans="1:19" ht="24.75" customHeight="1" thickBot="1">
      <c r="A18" s="786" t="s">
        <v>54</v>
      </c>
      <c r="B18" s="786"/>
      <c r="C18" s="865" t="str">
        <f>'5-ATJIF-01'!C18</f>
        <v>QMS 2015</v>
      </c>
      <c r="D18" s="866"/>
      <c r="E18" s="866"/>
      <c r="F18" s="825"/>
      <c r="G18" s="185">
        <f>VLOOKUP(C18,Sheet1!A2:K43,10,FALSE)</f>
        <v>2</v>
      </c>
      <c r="H18" s="152" t="s">
        <v>56</v>
      </c>
      <c r="I18" s="153" t="s">
        <v>57</v>
      </c>
    </row>
    <row r="19" spans="1:19" ht="24.75" customHeight="1" thickTop="1" thickBot="1">
      <c r="A19" s="793" t="s">
        <v>59</v>
      </c>
      <c r="B19" s="867"/>
      <c r="C19" s="170" t="s">
        <v>373</v>
      </c>
      <c r="D19" s="172" t="str">
        <f>IF(C19="Special Visit","Means",+"if any")</f>
        <v>if any</v>
      </c>
      <c r="E19" s="171"/>
      <c r="F19" s="184"/>
      <c r="G19" s="175"/>
      <c r="H19" s="173" t="s">
        <v>65</v>
      </c>
      <c r="I19" s="161" t="str">
        <f>'1-Questionnaire'!I21</f>
        <v>EGAC</v>
      </c>
      <c r="J19" s="857" t="s">
        <v>374</v>
      </c>
      <c r="K19" s="858"/>
      <c r="L19" s="858"/>
      <c r="M19" s="858"/>
      <c r="N19" s="858"/>
      <c r="O19" s="858"/>
      <c r="P19" s="858"/>
      <c r="Q19" s="858"/>
      <c r="R19" s="858"/>
      <c r="S19" s="858"/>
    </row>
    <row r="20" spans="1:19" ht="24.75" customHeight="1" thickTop="1">
      <c r="A20" s="786" t="s">
        <v>64</v>
      </c>
      <c r="B20" s="786"/>
      <c r="C20" s="868"/>
      <c r="D20" s="869"/>
      <c r="E20" s="869"/>
      <c r="F20" s="869"/>
      <c r="G20" s="870"/>
      <c r="H20" s="154" t="s">
        <v>365</v>
      </c>
      <c r="I20" s="174">
        <v>29</v>
      </c>
      <c r="J20" s="451" t="s">
        <v>1068</v>
      </c>
      <c r="K20" s="451"/>
      <c r="L20" s="451"/>
      <c r="M20" s="451"/>
      <c r="N20" s="451"/>
      <c r="O20" s="451"/>
      <c r="P20" s="451"/>
      <c r="Q20" s="451"/>
      <c r="R20" s="451"/>
      <c r="S20" s="451"/>
    </row>
    <row r="21" spans="1:19" ht="24.75" customHeight="1">
      <c r="A21" s="786" t="s">
        <v>74</v>
      </c>
      <c r="B21" s="786"/>
      <c r="C21" s="871" t="s">
        <v>75</v>
      </c>
      <c r="D21" s="872"/>
      <c r="E21" s="872"/>
      <c r="F21" s="872"/>
      <c r="G21" s="873"/>
      <c r="H21" s="152" t="s">
        <v>62</v>
      </c>
      <c r="I21" s="155" t="s">
        <v>63</v>
      </c>
      <c r="J21" s="451"/>
      <c r="K21" s="451"/>
      <c r="L21" s="451"/>
      <c r="M21" s="451"/>
      <c r="N21" s="451"/>
      <c r="O21" s="451"/>
      <c r="P21" s="451"/>
      <c r="Q21" s="451"/>
      <c r="R21" s="451"/>
      <c r="S21" s="451"/>
    </row>
    <row r="22" spans="1:19" ht="14.25" customHeight="1">
      <c r="J22" s="451"/>
      <c r="K22" s="451"/>
      <c r="L22" s="451"/>
      <c r="M22" s="451"/>
      <c r="N22" s="451"/>
      <c r="O22" s="451"/>
      <c r="P22" s="451"/>
      <c r="Q22" s="451"/>
      <c r="R22" s="451"/>
      <c r="S22" s="451"/>
    </row>
    <row r="23" spans="1:19" ht="15" customHeight="1">
      <c r="A23" s="783" t="s">
        <v>366</v>
      </c>
      <c r="B23" s="784"/>
      <c r="C23" s="784"/>
      <c r="D23" s="784"/>
      <c r="E23" s="784"/>
      <c r="F23" s="784"/>
      <c r="G23" s="784"/>
      <c r="H23" s="784"/>
      <c r="I23" s="784"/>
      <c r="J23" s="451"/>
      <c r="K23" s="451"/>
      <c r="L23" s="451"/>
      <c r="M23" s="451"/>
      <c r="N23" s="451"/>
      <c r="O23" s="451"/>
      <c r="P23" s="451"/>
      <c r="Q23" s="451"/>
      <c r="R23" s="451"/>
      <c r="S23" s="451"/>
    </row>
    <row r="24" spans="1:19" ht="14.65" customHeight="1">
      <c r="A24" s="250" t="str">
        <f>IF(C19="Recertification ","Should be ensure you've used the latest update data in the questionnaire"," ")</f>
        <v xml:space="preserve"> </v>
      </c>
      <c r="B24" s="250"/>
      <c r="C24" s="250"/>
      <c r="D24" s="250"/>
      <c r="E24" s="876" t="s">
        <v>264</v>
      </c>
      <c r="F24" s="877"/>
      <c r="G24" s="251">
        <f>I24-'2-Calc. Sheet'!K15</f>
        <v>0</v>
      </c>
      <c r="H24" s="252"/>
      <c r="I24" s="253"/>
      <c r="J24" s="829" t="s">
        <v>367</v>
      </c>
      <c r="K24" s="830"/>
      <c r="L24" s="830"/>
      <c r="M24" s="830"/>
      <c r="N24" s="830"/>
      <c r="O24" s="830"/>
      <c r="P24" s="830"/>
      <c r="Q24" s="830"/>
      <c r="R24" s="830"/>
      <c r="S24" s="830"/>
    </row>
    <row r="25" spans="1:19" ht="14.65" customHeight="1">
      <c r="A25" s="862" t="s">
        <v>59</v>
      </c>
      <c r="B25" s="862"/>
      <c r="C25" s="863" t="str">
        <f>_xlfn.CONCAT(C19,",",E19)</f>
        <v>Stage II,</v>
      </c>
      <c r="D25" s="864"/>
      <c r="E25" s="874" t="s">
        <v>263</v>
      </c>
      <c r="F25" s="875"/>
      <c r="G25" s="190">
        <f>I25-'2-Calc. Sheet'!I15</f>
        <v>0</v>
      </c>
      <c r="H25" s="182"/>
      <c r="I25" s="183"/>
      <c r="J25" s="830"/>
      <c r="K25" s="830"/>
      <c r="L25" s="830"/>
      <c r="M25" s="830"/>
      <c r="N25" s="830"/>
      <c r="O25" s="830"/>
      <c r="P25" s="830"/>
      <c r="Q25" s="830"/>
      <c r="R25" s="830"/>
      <c r="S25" s="830"/>
    </row>
    <row r="26" spans="1:19" ht="14.25" customHeight="1">
      <c r="A26" s="786" t="s">
        <v>265</v>
      </c>
      <c r="B26" s="786"/>
      <c r="C26" s="410">
        <v>0</v>
      </c>
      <c r="D26" s="411"/>
      <c r="E26" s="882" t="s">
        <v>266</v>
      </c>
      <c r="F26" s="883"/>
      <c r="G26" s="191" t="str">
        <f>IF(H26='1-Questionnaire'!M5,'5-ATJIF-02'!I26,((H26-'1-Questionnaire'!M5)*0.5))</f>
        <v>0</v>
      </c>
      <c r="H26" s="182">
        <v>0</v>
      </c>
      <c r="I26" s="192" t="str">
        <f>IF('2-Calc. Sheet'!L14="*N/A","0",(('5-ATJIF-02'!H26-'2-Calc. Sheet'!O14)*0.5))</f>
        <v>0</v>
      </c>
      <c r="J26" s="831">
        <f>C13</f>
        <v>0</v>
      </c>
      <c r="K26" s="828"/>
      <c r="L26" s="828"/>
      <c r="M26" s="828"/>
    </row>
    <row r="27" spans="1:19" ht="14.25" customHeight="1">
      <c r="A27" s="862" t="s">
        <v>129</v>
      </c>
      <c r="B27" s="862"/>
      <c r="C27" s="410">
        <v>0</v>
      </c>
      <c r="D27" s="411"/>
      <c r="E27" s="878" t="s">
        <v>368</v>
      </c>
      <c r="F27" s="879"/>
      <c r="G27" s="879"/>
      <c r="H27" s="263" t="s">
        <v>1071</v>
      </c>
      <c r="I27" s="186">
        <v>0</v>
      </c>
      <c r="J27" s="832">
        <f>C16</f>
        <v>0</v>
      </c>
      <c r="K27" s="828"/>
      <c r="L27" s="828"/>
      <c r="M27" s="828"/>
    </row>
    <row r="28" spans="1:19" ht="14.25" customHeight="1">
      <c r="A28" s="862" t="s">
        <v>268</v>
      </c>
      <c r="B28" s="862"/>
      <c r="C28" s="410" t="s">
        <v>21</v>
      </c>
      <c r="D28" s="411"/>
      <c r="E28" s="880" t="s">
        <v>270</v>
      </c>
      <c r="F28" s="881"/>
      <c r="G28" s="881"/>
      <c r="H28" s="263">
        <v>0</v>
      </c>
      <c r="I28" s="187">
        <f>IF(ISNUMBER(H28),H28*0.06,0)</f>
        <v>0</v>
      </c>
      <c r="J28" s="833">
        <f>B7</f>
        <v>0</v>
      </c>
      <c r="K28" s="828"/>
      <c r="L28" s="828"/>
      <c r="M28" s="828"/>
    </row>
    <row r="29" spans="1:19">
      <c r="A29" s="862" t="s">
        <v>272</v>
      </c>
      <c r="B29" s="862"/>
      <c r="C29" s="410">
        <v>0</v>
      </c>
      <c r="D29" s="411"/>
      <c r="E29" s="878" t="s">
        <v>206</v>
      </c>
      <c r="F29" s="879"/>
      <c r="G29" s="879"/>
      <c r="H29" s="411"/>
      <c r="I29" s="412"/>
      <c r="J29" s="828" t="str">
        <f>I14</f>
        <v>Egypt</v>
      </c>
      <c r="K29" s="828"/>
      <c r="L29" s="828"/>
      <c r="M29" s="828"/>
    </row>
    <row r="31" spans="1:19" ht="14.65" customHeight="1">
      <c r="A31" s="783" t="s">
        <v>369</v>
      </c>
      <c r="B31" s="784"/>
      <c r="C31" s="784"/>
      <c r="D31" s="784"/>
      <c r="E31" s="784"/>
      <c r="F31" s="784"/>
      <c r="G31" s="784"/>
      <c r="H31" s="784"/>
      <c r="I31" s="784"/>
    </row>
    <row r="32" spans="1:19" ht="14.25" customHeight="1">
      <c r="A32" s="825" t="s">
        <v>370</v>
      </c>
      <c r="B32" s="825"/>
      <c r="C32" s="825"/>
      <c r="D32" s="825"/>
      <c r="E32" s="825"/>
      <c r="F32" s="825"/>
      <c r="G32" s="825"/>
      <c r="H32" s="825"/>
      <c r="I32" s="825"/>
    </row>
    <row r="33" spans="1:19">
      <c r="A33" s="800"/>
      <c r="B33" s="800"/>
      <c r="C33" s="800"/>
      <c r="D33" s="800"/>
      <c r="E33" s="800"/>
      <c r="F33" s="800"/>
      <c r="G33" s="800"/>
      <c r="H33" s="800"/>
      <c r="I33" s="800"/>
    </row>
    <row r="34" spans="1:19">
      <c r="A34" s="800"/>
      <c r="B34" s="800"/>
      <c r="C34" s="800"/>
      <c r="D34" s="800"/>
      <c r="E34" s="800"/>
      <c r="F34" s="800"/>
      <c r="G34" s="800"/>
      <c r="H34" s="800"/>
      <c r="I34" s="800"/>
    </row>
    <row r="35" spans="1:19">
      <c r="A35" s="800"/>
      <c r="B35" s="800"/>
      <c r="C35" s="800"/>
      <c r="D35" s="800"/>
      <c r="E35" s="800"/>
      <c r="F35" s="800"/>
      <c r="G35" s="800"/>
      <c r="H35" s="800"/>
      <c r="I35" s="800"/>
    </row>
    <row r="36" spans="1:19">
      <c r="A36" s="800"/>
      <c r="B36" s="800"/>
      <c r="C36" s="800"/>
      <c r="D36" s="800"/>
      <c r="E36" s="800"/>
      <c r="F36" s="800"/>
      <c r="G36" s="800"/>
      <c r="H36" s="800"/>
      <c r="I36" s="800"/>
    </row>
    <row r="37" spans="1:19">
      <c r="A37" s="800"/>
      <c r="B37" s="800"/>
      <c r="C37" s="800"/>
      <c r="D37" s="800"/>
      <c r="E37" s="800"/>
      <c r="F37" s="800"/>
      <c r="G37" s="800"/>
      <c r="H37" s="800"/>
      <c r="I37" s="800"/>
    </row>
    <row r="38" spans="1:19">
      <c r="A38" s="800"/>
      <c r="B38" s="800"/>
      <c r="C38" s="800"/>
      <c r="D38" s="800"/>
      <c r="E38" s="800"/>
      <c r="F38" s="800"/>
      <c r="G38" s="800"/>
      <c r="H38" s="800"/>
      <c r="I38" s="800"/>
    </row>
    <row r="39" spans="1:19">
      <c r="A39" s="800"/>
      <c r="B39" s="800"/>
      <c r="C39" s="800"/>
      <c r="D39" s="800"/>
      <c r="E39" s="800"/>
      <c r="F39" s="800"/>
      <c r="G39" s="800"/>
      <c r="H39" s="800"/>
      <c r="I39" s="800"/>
      <c r="Q39" s="823" t="s">
        <v>375</v>
      </c>
      <c r="R39" s="823"/>
      <c r="S39" s="823"/>
    </row>
    <row r="40" spans="1:19">
      <c r="A40" s="826"/>
      <c r="B40" s="826"/>
      <c r="C40" s="826"/>
      <c r="D40" s="826"/>
      <c r="E40" s="826"/>
      <c r="F40" s="826"/>
      <c r="G40" s="826"/>
      <c r="H40" s="826"/>
      <c r="I40" s="826"/>
      <c r="Q40" s="823"/>
      <c r="R40" s="823"/>
      <c r="S40" s="823"/>
    </row>
    <row r="41" spans="1:19">
      <c r="A41" s="822" t="s">
        <v>214</v>
      </c>
      <c r="B41" s="822"/>
      <c r="C41" s="822"/>
      <c r="D41" s="822"/>
      <c r="E41" s="822"/>
      <c r="F41" s="822"/>
      <c r="G41" s="156">
        <f>B7</f>
        <v>0</v>
      </c>
      <c r="H41" s="827" t="str">
        <f>H7</f>
        <v>CSC-Q0-2022</v>
      </c>
      <c r="I41" s="827"/>
      <c r="J41" s="142" t="s">
        <v>214</v>
      </c>
      <c r="K41" s="142"/>
      <c r="L41" s="142"/>
      <c r="M41" s="142"/>
      <c r="N41" s="142"/>
      <c r="O41" s="142"/>
      <c r="P41" s="156"/>
      <c r="Q41" s="156">
        <f>G41</f>
        <v>0</v>
      </c>
      <c r="R41" s="827" t="str">
        <f>H41</f>
        <v>CSC-Q0-2022</v>
      </c>
      <c r="S41" s="827"/>
    </row>
  </sheetData>
  <sheetProtection algorithmName="SHA-512" hashValue="m4EhEZHHiy9G5/HemsU0UkO02NJgZQ4ztchmKwYGq+k8buhpVLTTsZn6vxsFtx9PMtrIEWJtxtrnrFQGfLHdeg==" saltValue="7+kReSjNeN+atZeo1KXLzg==" spinCount="100000" sheet="1" formatCells="0" formatColumns="0" formatRows="0" selectLockedCells="1"/>
  <dataConsolidate function="varp">
    <dataRefs count="1">
      <dataRef ref="C1:C1048576" sheet="Classification" r:id="rId1"/>
    </dataRefs>
  </dataConsolidate>
  <mergeCells count="93">
    <mergeCell ref="A5:G5"/>
    <mergeCell ref="R15:S15"/>
    <mergeCell ref="L16:N16"/>
    <mergeCell ref="O16:P16"/>
    <mergeCell ref="Q16:S16"/>
    <mergeCell ref="N11:O12"/>
    <mergeCell ref="A16:B16"/>
    <mergeCell ref="C16:G16"/>
    <mergeCell ref="J16:K16"/>
    <mergeCell ref="A15:B15"/>
    <mergeCell ref="C15:H15"/>
    <mergeCell ref="J15:K15"/>
    <mergeCell ref="L15:M15"/>
    <mergeCell ref="N15:Q15"/>
    <mergeCell ref="A9:I9"/>
    <mergeCell ref="R11:S12"/>
    <mergeCell ref="J28:M28"/>
    <mergeCell ref="J27:M27"/>
    <mergeCell ref="J26:M26"/>
    <mergeCell ref="J24:S25"/>
    <mergeCell ref="J17:K17"/>
    <mergeCell ref="L17:M17"/>
    <mergeCell ref="N17:O17"/>
    <mergeCell ref="P17:Q17"/>
    <mergeCell ref="R17:S17"/>
    <mergeCell ref="J20:S23"/>
    <mergeCell ref="A31:I31"/>
    <mergeCell ref="A32:I40"/>
    <mergeCell ref="A41:F41"/>
    <mergeCell ref="H41:I41"/>
    <mergeCell ref="R41:S41"/>
    <mergeCell ref="Q39:S40"/>
    <mergeCell ref="H29:I29"/>
    <mergeCell ref="A26:B26"/>
    <mergeCell ref="C26:D26"/>
    <mergeCell ref="A27:B27"/>
    <mergeCell ref="C27:D27"/>
    <mergeCell ref="E27:G27"/>
    <mergeCell ref="A28:B28"/>
    <mergeCell ref="C28:D28"/>
    <mergeCell ref="E28:G28"/>
    <mergeCell ref="A29:B29"/>
    <mergeCell ref="C29:D29"/>
    <mergeCell ref="E29:G29"/>
    <mergeCell ref="E26:F26"/>
    <mergeCell ref="A23:I23"/>
    <mergeCell ref="A25:B25"/>
    <mergeCell ref="C25:D25"/>
    <mergeCell ref="C18:F18"/>
    <mergeCell ref="A19:B19"/>
    <mergeCell ref="A20:B20"/>
    <mergeCell ref="C20:G20"/>
    <mergeCell ref="A21:B21"/>
    <mergeCell ref="C21:G21"/>
    <mergeCell ref="E25:F25"/>
    <mergeCell ref="E24:F24"/>
    <mergeCell ref="A17:B17"/>
    <mergeCell ref="C17:D17"/>
    <mergeCell ref="E17:F17"/>
    <mergeCell ref="G17:I17"/>
    <mergeCell ref="A18:B18"/>
    <mergeCell ref="P13:Q13"/>
    <mergeCell ref="L14:M14"/>
    <mergeCell ref="R14:S14"/>
    <mergeCell ref="N14:Q14"/>
    <mergeCell ref="J19:S19"/>
    <mergeCell ref="A13:B13"/>
    <mergeCell ref="C13:G13"/>
    <mergeCell ref="J13:K13"/>
    <mergeCell ref="L13:M13"/>
    <mergeCell ref="N13:O13"/>
    <mergeCell ref="A1:D3"/>
    <mergeCell ref="E1:H2"/>
    <mergeCell ref="J1:M3"/>
    <mergeCell ref="O1:R2"/>
    <mergeCell ref="G3:I3"/>
    <mergeCell ref="Q3:S3"/>
    <mergeCell ref="J29:M29"/>
    <mergeCell ref="A4:I4"/>
    <mergeCell ref="J4:S8"/>
    <mergeCell ref="F7:G7"/>
    <mergeCell ref="H7:I7"/>
    <mergeCell ref="F8:G8"/>
    <mergeCell ref="H8:I8"/>
    <mergeCell ref="A11:I11"/>
    <mergeCell ref="J11:K12"/>
    <mergeCell ref="L11:M12"/>
    <mergeCell ref="J9:S9"/>
    <mergeCell ref="P11:Q12"/>
    <mergeCell ref="R13:S13"/>
    <mergeCell ref="A14:B14"/>
    <mergeCell ref="C14:G14"/>
    <mergeCell ref="J14:K14"/>
  </mergeCells>
  <conditionalFormatting sqref="B7">
    <cfRule type="containsBlanks" dxfId="33" priority="12">
      <formula>LEN(TRIM(B7))=0</formula>
    </cfRule>
  </conditionalFormatting>
  <conditionalFormatting sqref="C19">
    <cfRule type="containsBlanks" dxfId="32" priority="11">
      <formula>LEN(TRIM(C19))=0</formula>
    </cfRule>
  </conditionalFormatting>
  <conditionalFormatting sqref="E19">
    <cfRule type="containsBlanks" dxfId="31" priority="5">
      <formula>LEN(TRIM(E19))=0</formula>
    </cfRule>
  </conditionalFormatting>
  <conditionalFormatting sqref="F19:G19">
    <cfRule type="containsBlanks" dxfId="30" priority="15">
      <formula>LEN(TRIM(F19))=0</formula>
    </cfRule>
  </conditionalFormatting>
  <conditionalFormatting sqref="H28 H29:I29">
    <cfRule type="containsBlanks" dxfId="29" priority="4">
      <formula>LEN(TRIM(H28))=0</formula>
    </cfRule>
  </conditionalFormatting>
  <conditionalFormatting sqref="I19:I20">
    <cfRule type="containsText" dxfId="28" priority="13" operator="containsText" text="Non-Accredit">
      <formula>NOT(ISERROR(SEARCH("Non-Accredit",I19)))</formula>
    </cfRule>
  </conditionalFormatting>
  <conditionalFormatting sqref="L14:L15">
    <cfRule type="containsText" dxfId="27" priority="2" operator="containsText" text="Ask For Advise">
      <formula>NOT(ISERROR(SEARCH("Ask For Advise",L14)))</formula>
    </cfRule>
  </conditionalFormatting>
  <conditionalFormatting sqref="L16">
    <cfRule type="containsBlanks" dxfId="26" priority="10">
      <formula>LEN(TRIM(L16))=0</formula>
    </cfRule>
  </conditionalFormatting>
  <conditionalFormatting sqref="L17:S17">
    <cfRule type="containsBlanks" dxfId="25" priority="9">
      <formula>LEN(TRIM(L17))=0</formula>
    </cfRule>
  </conditionalFormatting>
  <conditionalFormatting sqref="Q16:S16">
    <cfRule type="containsBlanks" dxfId="24" priority="8">
      <formula>LEN(TRIM(Q16))=0</formula>
    </cfRule>
  </conditionalFormatting>
  <conditionalFormatting sqref="R14:R15">
    <cfRule type="containsBlanks" dxfId="23" priority="1">
      <formula>LEN(TRIM(R14))=0</formula>
    </cfRule>
  </conditionalFormatting>
  <dataValidations xWindow="382" yWindow="562" count="10">
    <dataValidation allowBlank="1" showInputMessage="1" showErrorMessage="1" promptTitle="A.B." prompt="Accreditation Body" sqref="I19" xr:uid="{00000000-0002-0000-0800-000000000000}"/>
    <dataValidation allowBlank="1" showInputMessage="1" showErrorMessage="1" prompt="If you've more than one manufacturing site, please complete the details in the multi-site worksheet" sqref="I15" xr:uid="{00000000-0002-0000-0800-000001000000}"/>
    <dataValidation allowBlank="1" showInputMessage="1" showErrorMessage="1" promptTitle="C.C.N." prompt="Client Code Number" sqref="I13" xr:uid="{00000000-0002-0000-0800-000002000000}"/>
    <dataValidation type="whole" operator="greaterThanOrEqual" allowBlank="1" showInputMessage="1" showErrorMessage="1" errorTitle="Error" error="More than zero" promptTitle="Tip!" prompt="+days in case others" sqref="F19" xr:uid="{00000000-0002-0000-0800-000003000000}">
      <formula1>0</formula1>
    </dataValidation>
    <dataValidation type="whole" errorStyle="warning" operator="lessThanOrEqual" showInputMessage="1" showErrorMessage="1" errorTitle="Error" error="less than zero" promptTitle="Tip!" prompt="-days if any" sqref="G19" xr:uid="{00000000-0002-0000-0800-000004000000}">
      <formula1>0</formula1>
    </dataValidation>
    <dataValidation promptTitle="Tip!" prompt="In case of reducing only, plz typing the proposed data here." sqref="C18:F18" xr:uid="{00000000-0002-0000-0800-000005000000}"/>
    <dataValidation allowBlank="1" promptTitle="Tip!" prompt="In case of any change, plz typing here the proposed data" sqref="I26" xr:uid="{00000000-0002-0000-0800-000006000000}"/>
    <dataValidation type="list" allowBlank="1" showInputMessage="1" showErrorMessage="1" sqref="Q39:S40" xr:uid="{00000000-0002-0000-0800-000007000000}">
      <formula1>"Create ATJIF-SUR (2)"</formula1>
    </dataValidation>
    <dataValidation type="list" showInputMessage="1" sqref="R14:S14" xr:uid="{00000000-0002-0000-0800-000008000000}">
      <formula1>$L$14</formula1>
    </dataValidation>
    <dataValidation type="list" showInputMessage="1" sqref="R15:S15" xr:uid="{00000000-0002-0000-0800-000009000000}">
      <formula1>$L$15</formula1>
    </dataValidation>
  </dataValidations>
  <hyperlinks>
    <hyperlink ref="I15" location="'Multi-Site'!A1" display="+" xr:uid="{00000000-0004-0000-0800-000000000000}"/>
    <hyperlink ref="Q39:S40" location="'5-ATJIF-02'!A1" display="Create CRMR-INT" xr:uid="{00000000-0004-0000-0800-000001000000}"/>
  </hyperlinks>
  <pageMargins left="0.7" right="0.7" top="0.75" bottom="0.75" header="0.3" footer="0.3"/>
  <pageSetup orientation="portrait" horizontalDpi="300" verticalDpi="300" r:id="rId2"/>
  <drawing r:id="rId3"/>
  <extLst>
    <ext xmlns:x14="http://schemas.microsoft.com/office/spreadsheetml/2009/9/main" uri="{CCE6A557-97BC-4b89-ADB6-D9C93CAAB3DF}">
      <x14:dataValidations xmlns:xm="http://schemas.microsoft.com/office/excel/2006/main" xWindow="382" yWindow="562" count="24">
        <x14:dataValidation type="list" allowBlank="1" showInputMessage="1" showErrorMessage="1" xr:uid="{00000000-0002-0000-0800-00000A000000}">
          <x14:formula1>
            <xm:f>Sheet2!$U$25:$U$29</xm:f>
          </x14:formula1>
          <xm:sqref>C19</xm:sqref>
        </x14:dataValidation>
        <x14:dataValidation type="list" showInputMessage="1" promptTitle="Tip!" prompt="In case of any change/modification, plz typing the proposed data here." xr:uid="{00000000-0002-0000-0800-00000B000000}">
          <x14:formula1>
            <xm:f>'1-Questionnaire'!$I$7</xm:f>
          </x14:formula1>
          <xm:sqref>I16</xm:sqref>
        </x14:dataValidation>
        <x14:dataValidation type="list" allowBlank="1" showInputMessage="1" promptTitle="Tip!" prompt="In case of any change/modification, plz typing the proposed data here." xr:uid="{00000000-0002-0000-0800-00000C000000}">
          <x14:formula1>
            <xm:f>'1-Questionnaire'!$C$25</xm:f>
          </x14:formula1>
          <xm:sqref>C21:G21</xm:sqref>
        </x14:dataValidation>
        <x14:dataValidation type="list" showInputMessage="1" promptTitle="Tip!" prompt="In case of any change, plz typing the proposed data here." xr:uid="{00000000-0002-0000-0800-00000D000000}">
          <x14:formula1>
            <xm:f>'1-Questionnaire'!$I$19</xm:f>
          </x14:formula1>
          <xm:sqref>I21</xm:sqref>
        </x14:dataValidation>
        <x14:dataValidation type="list" showInputMessage="1" promptTitle="Tip!" prompt="In case of any extend/reducing, plz typing the proposed data here." xr:uid="{00000000-0002-0000-0800-00000E000000}">
          <x14:formula1>
            <xm:f>'5-ATJIF-01'!$I$20</xm:f>
          </x14:formula1>
          <xm:sqref>I20</xm:sqref>
        </x14:dataValidation>
        <x14:dataValidation type="list" showInputMessage="1" promptTitle="Tip!" prompt="In case of any extend/reducing, plz typing the proposed data here." xr:uid="{00000000-0002-0000-0800-00000F000000}">
          <x14:formula1>
            <xm:f>'1-Questionnaire'!$C$21</xm:f>
          </x14:formula1>
          <xm:sqref>C20:G20</xm:sqref>
        </x14:dataValidation>
        <x14:dataValidation type="list" showInputMessage="1" promptTitle="Tip!" prompt="In case of any change/modification, plz typing the proposed data here." xr:uid="{00000000-0002-0000-0800-000010000000}">
          <x14:formula1>
            <xm:f>'1-Questionnaire'!$G$8</xm:f>
          </x14:formula1>
          <xm:sqref>G17:I17</xm:sqref>
        </x14:dataValidation>
        <x14:dataValidation type="list" allowBlank="1" showInputMessage="1" promptTitle="Tip!" prompt="In case of any change/modification, plz typing the proposed data here." xr:uid="{00000000-0002-0000-0800-000011000000}">
          <x14:formula1>
            <xm:f>'1-Questionnaire'!$E$8</xm:f>
          </x14:formula1>
          <xm:sqref>E17:F17</xm:sqref>
        </x14:dataValidation>
        <x14:dataValidation type="list" allowBlank="1" showInputMessage="1" promptTitle="Tip!" prompt="In case of any change/modification, plz typing the proposed data here." xr:uid="{00000000-0002-0000-0800-000012000000}">
          <x14:formula1>
            <xm:f>'1-Questionnaire'!$C$8</xm:f>
          </x14:formula1>
          <xm:sqref>C17:D17</xm:sqref>
        </x14:dataValidation>
        <x14:dataValidation type="list" showInputMessage="1" promptTitle="Tip!" prompt="In case of any change/modification, plz typing the proposed data here." xr:uid="{00000000-0002-0000-0800-000013000000}">
          <x14:formula1>
            <xm:f>'1-Questionnaire'!$C$7</xm:f>
          </x14:formula1>
          <xm:sqref>C16:G16</xm:sqref>
        </x14:dataValidation>
        <x14:dataValidation type="list" allowBlank="1" showInputMessage="1" promptTitle="Tip!" prompt="In case of any change/modification, plz typing the proposed data here." xr:uid="{00000000-0002-0000-0800-000014000000}">
          <x14:formula1>
            <xm:f>'1-Questionnaire'!$C$20</xm:f>
          </x14:formula1>
          <xm:sqref>C15:H15</xm:sqref>
        </x14:dataValidation>
        <x14:dataValidation type="list" allowBlank="1" showInputMessage="1" prompt="In case of any change, plz typing the proposed data here. " xr:uid="{00000000-0002-0000-0800-000015000000}">
          <x14:formula1>
            <xm:f>'1-Questionnaire'!$I$6</xm:f>
          </x14:formula1>
          <xm:sqref>I14</xm:sqref>
        </x14:dataValidation>
        <x14:dataValidation type="list" showInputMessage="1" promptTitle="Tip!" prompt="In case of any change/modification, plz typing the proposed data here." xr:uid="{00000000-0002-0000-0800-000016000000}">
          <x14:formula1>
            <xm:f>'1-Questionnaire'!$C$6</xm:f>
          </x14:formula1>
          <xm:sqref>C14:G14</xm:sqref>
        </x14:dataValidation>
        <x14:dataValidation type="list" showInputMessage="1" promptTitle="Tip!" prompt="In case of any change/modification, plz typing the proposed data here." xr:uid="{00000000-0002-0000-0800-000017000000}">
          <x14:formula1>
            <xm:f>'1-Questionnaire'!$C$5</xm:f>
          </x14:formula1>
          <xm:sqref>C13:G13</xm:sqref>
        </x14:dataValidation>
        <x14:dataValidation type="list" allowBlank="1" showInputMessage="1" showErrorMessage="1" xr:uid="{00000000-0002-0000-0800-000018000000}">
          <x14:formula1>
            <xm:f>Sheet2!$U$30:$U$32</xm:f>
          </x14:formula1>
          <xm:sqref>E19</xm:sqref>
        </x14:dataValidation>
        <x14:dataValidation type="list" allowBlank="1" showInputMessage="1" showErrorMessage="1" xr:uid="{00000000-0002-0000-0800-000019000000}">
          <x14:formula1>
            <xm:f>'5-ATJIF-01'!$I$18</xm:f>
          </x14:formula1>
          <xm:sqref>I18</xm:sqref>
        </x14:dataValidation>
        <x14:dataValidation type="list" errorStyle="information" allowBlank="1" showInputMessage="1" showErrorMessage="1" errorTitle="Wrong Name!" error="Please use the Drop-Down List" xr:uid="{00000000-0002-0000-0800-00001A000000}">
          <x14:formula1>
            <xm:f>Auditors!$B$2:$B$16</xm:f>
          </x14:formula1>
          <xm:sqref>L13:M13</xm:sqref>
        </x14:dataValidation>
        <x14:dataValidation type="list" showInputMessage="1" showErrorMessage="1" xr:uid="{00000000-0002-0000-0800-00001B000000}">
          <x14:formula1>
            <xm:f>'5-ATJIF-01'!$I$24</xm:f>
          </x14:formula1>
          <xm:sqref>I24</xm:sqref>
        </x14:dataValidation>
        <x14:dataValidation type="list" showInputMessage="1" showErrorMessage="1" xr:uid="{00000000-0002-0000-0800-00001C000000}">
          <x14:formula1>
            <xm:f>'5-ATJIF-01'!$H$24</xm:f>
          </x14:formula1>
          <xm:sqref>H24</xm:sqref>
        </x14:dataValidation>
        <x14:dataValidation type="list" errorStyle="information" allowBlank="1" showInputMessage="1" showErrorMessage="1" errorTitle="Wrong name!" error="please use the Drop-Down List" xr:uid="{00000000-0002-0000-0800-00001D000000}">
          <x14:formula1>
            <xm:f>Auditors!$B$2:$B$17</xm:f>
          </x14:formula1>
          <xm:sqref>N13:S13</xm:sqref>
        </x14:dataValidation>
        <x14:dataValidation type="list" showInputMessage="1" promptTitle="Tip!" prompt="In case of any change/modification, plz typing the proposed data here." xr:uid="{00000000-0002-0000-0800-00001E000000}">
          <x14:formula1>
            <xm:f>'5-ATJIF-01'!H27</xm:f>
          </x14:formula1>
          <xm:sqref>H27:I27</xm:sqref>
        </x14:dataValidation>
        <x14:dataValidation type="list" showInputMessage="1" xr:uid="{00000000-0002-0000-0800-00001F000000}">
          <x14:formula1>
            <xm:f>'5-ATJIF-01'!C25</xm:f>
          </x14:formula1>
          <xm:sqref>I25 C26:D26</xm:sqref>
        </x14:dataValidation>
        <x14:dataValidation type="list" allowBlank="1" showInputMessage="1" xr:uid="{00000000-0002-0000-0800-000021000000}">
          <x14:formula1>
            <xm:f>'5-ATJIF-01'!C25</xm:f>
          </x14:formula1>
          <xm:sqref>H25 C27:D29</xm:sqref>
        </x14:dataValidation>
        <x14:dataValidation type="list" allowBlank="1" promptTitle="Tip!" prompt="In case of any change, plz typing here the proposed data" xr:uid="{00000000-0002-0000-0800-000023000000}">
          <x14:formula1>
            <xm:f>'5-ATJIF-01'!H26</xm:f>
          </x14:formula1>
          <xm:sqref>H26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14</vt:i4>
      </vt:variant>
    </vt:vector>
  </HeadingPairs>
  <TitlesOfParts>
    <vt:vector size="33" baseType="lpstr">
      <vt:lpstr>Start</vt:lpstr>
      <vt:lpstr>1-Questionnaire</vt:lpstr>
      <vt:lpstr>Hazards Identification OH&amp;S </vt:lpstr>
      <vt:lpstr>Multi-Site</vt:lpstr>
      <vt:lpstr>2-Calc. Sheet</vt:lpstr>
      <vt:lpstr>3-Quotation</vt:lpstr>
      <vt:lpstr>4-Contract</vt:lpstr>
      <vt:lpstr>5-ATJIF-01</vt:lpstr>
      <vt:lpstr>5-ATJIF-02</vt:lpstr>
      <vt:lpstr>CRMR-INT</vt:lpstr>
      <vt:lpstr>CERTIFICATE</vt:lpstr>
      <vt:lpstr>Sheet5</vt:lpstr>
      <vt:lpstr>Sheet4</vt:lpstr>
      <vt:lpstr>Sheet3</vt:lpstr>
      <vt:lpstr>Audit Form</vt:lpstr>
      <vt:lpstr>Classification</vt:lpstr>
      <vt:lpstr>Auditors</vt:lpstr>
      <vt:lpstr>Sheet1</vt:lpstr>
      <vt:lpstr>Sheet2</vt:lpstr>
      <vt:lpstr>Codes</vt:lpstr>
      <vt:lpstr>'3-Quotation'!ENP</vt:lpstr>
      <vt:lpstr>'CRMR-INT'!ENP</vt:lpstr>
      <vt:lpstr>ENP</vt:lpstr>
      <vt:lpstr>'4-Contract'!Text22</vt:lpstr>
      <vt:lpstr>'4-Contract'!Text38</vt:lpstr>
      <vt:lpstr>'4-Contract'!Text39</vt:lpstr>
      <vt:lpstr>'4-Contract'!Text42</vt:lpstr>
      <vt:lpstr>'4-Contract'!Text43</vt:lpstr>
      <vt:lpstr>'4-Contract'!Text44</vt:lpstr>
      <vt:lpstr>'4-Contract'!Text45</vt:lpstr>
      <vt:lpstr>'4-Contract'!Text46</vt:lpstr>
      <vt:lpstr>'4-Contract'!Text47</vt:lpstr>
      <vt:lpstr>'4-Contract'!Text57</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2023-12-22T16:15:55Z</dcterms:modified>
</cp:coreProperties>
</file>